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lfr\Dropbox\Sternenhimmel\HTML new\Spreadsheets\"/>
    </mc:Choice>
  </mc:AlternateContent>
  <bookViews>
    <workbookView xWindow="0" yWindow="0" windowWidth="19200" windowHeight="7310"/>
  </bookViews>
  <sheets>
    <sheet name="Lik D&lt;TR1+TR2" sheetId="1" r:id="rId1"/>
    <sheet name="Content Description" sheetId="2" r:id="rId2"/>
  </sheets>
  <definedNames>
    <definedName name="_xlnm._FilterDatabase" localSheetId="0" hidden="1">'Lik D&lt;TR1+TR2'!#REF!</definedName>
  </definedNames>
  <calcPr calcId="152511"/>
</workbook>
</file>

<file path=xl/calcChain.xml><?xml version="1.0" encoding="utf-8"?>
<calcChain xmlns="http://schemas.openxmlformats.org/spreadsheetml/2006/main">
  <c r="I9" i="1" l="1"/>
  <c r="H9" i="1"/>
  <c r="G9" i="1"/>
  <c r="F9" i="1"/>
  <c r="H5" i="1" l="1"/>
  <c r="A5" i="1" l="1"/>
  <c r="B5" i="1"/>
  <c r="C5" i="1"/>
  <c r="D5" i="1"/>
  <c r="E5" i="1"/>
  <c r="F5" i="1"/>
  <c r="G5" i="1"/>
  <c r="A6" i="1"/>
  <c r="B6" i="1"/>
  <c r="C6" i="1"/>
  <c r="D6" i="1"/>
  <c r="E6" i="1"/>
  <c r="F6" i="1"/>
  <c r="G6" i="1"/>
  <c r="L6" i="1"/>
  <c r="K6" i="1"/>
  <c r="J6" i="1"/>
  <c r="I6" i="1"/>
  <c r="H6" i="1"/>
  <c r="L5" i="1"/>
  <c r="K5" i="1"/>
  <c r="J5" i="1"/>
  <c r="I5" i="1"/>
  <c r="Q5" i="1" l="1"/>
  <c r="T5" i="1"/>
  <c r="AJ5" i="1"/>
  <c r="AF5" i="1"/>
  <c r="AG5" i="1"/>
  <c r="M5" i="1"/>
  <c r="AM5" i="1"/>
  <c r="AD5" i="1"/>
  <c r="AI5" i="1"/>
  <c r="AC5" i="1"/>
  <c r="U5" i="1"/>
  <c r="R5" i="1"/>
  <c r="O5" i="1"/>
  <c r="B9" i="1" s="1"/>
  <c r="N5" i="1"/>
  <c r="E9" i="1" s="1"/>
  <c r="Z5" i="1" l="1"/>
  <c r="D9" i="1"/>
  <c r="Y5" i="1"/>
  <c r="S5" i="1"/>
  <c r="W5" i="1" s="1"/>
  <c r="AE5" i="1"/>
  <c r="AK5" i="1"/>
  <c r="AH5" i="1"/>
  <c r="V5" i="1"/>
  <c r="X5" i="1" s="1"/>
  <c r="P5" i="1"/>
  <c r="C9" i="1" s="1"/>
  <c r="AA5" i="1" l="1"/>
  <c r="AL5" i="1"/>
  <c r="AN5" i="1" s="1"/>
  <c r="AO5" i="1" s="1"/>
  <c r="AB5" i="1" l="1"/>
</calcChain>
</file>

<file path=xl/sharedStrings.xml><?xml version="1.0" encoding="utf-8"?>
<sst xmlns="http://schemas.openxmlformats.org/spreadsheetml/2006/main" count="251" uniqueCount="139">
  <si>
    <t>Sep</t>
  </si>
  <si>
    <t>RA</t>
  </si>
  <si>
    <t>Dist LYrs A</t>
  </si>
  <si>
    <t>Dist LYrs B</t>
  </si>
  <si>
    <t>Plx</t>
  </si>
  <si>
    <t>e_Plx</t>
  </si>
  <si>
    <t>e_RA</t>
  </si>
  <si>
    <t>VizieR</t>
  </si>
  <si>
    <t>e_Sep</t>
  </si>
  <si>
    <t>Plx/e_Plx1</t>
  </si>
  <si>
    <t>Plx/e_Plx2</t>
  </si>
  <si>
    <t>Name</t>
  </si>
  <si>
    <t>Dec</t>
  </si>
  <si>
    <t>e_Dec</t>
  </si>
  <si>
    <t>pmRA</t>
  </si>
  <si>
    <t>e_pmRA</t>
  </si>
  <si>
    <t>pmDec</t>
  </si>
  <si>
    <t>e_pmDec</t>
  </si>
  <si>
    <t>Mag</t>
  </si>
  <si>
    <t>PA</t>
  </si>
  <si>
    <t>e_PA</t>
  </si>
  <si>
    <t>PMVD A</t>
  </si>
  <si>
    <t>PMVD B</t>
  </si>
  <si>
    <t>e_PMVD</t>
  </si>
  <si>
    <t>PMVL A</t>
  </si>
  <si>
    <t>PMVL B</t>
  </si>
  <si>
    <t>e_PMVL</t>
  </si>
  <si>
    <t>PMVD</t>
  </si>
  <si>
    <t>PMVL</t>
  </si>
  <si>
    <t>Err/PMVL</t>
  </si>
  <si>
    <t>Sep/PM</t>
  </si>
  <si>
    <t>CPMR</t>
  </si>
  <si>
    <t>CPMS</t>
  </si>
  <si>
    <t>BCD AU AB</t>
  </si>
  <si>
    <t>RCD AU AB</t>
  </si>
  <si>
    <t>WCD AU AB</t>
  </si>
  <si>
    <t>Plx Dist</t>
  </si>
  <si>
    <t>Plx Err</t>
  </si>
  <si>
    <t>PlxR</t>
  </si>
  <si>
    <t>PlxS</t>
  </si>
  <si>
    <t>Vest1</t>
  </si>
  <si>
    <t>e_Vest1</t>
  </si>
  <si>
    <t>Vest2</t>
  </si>
  <si>
    <t>e_Vest2</t>
  </si>
  <si>
    <t>pmRA1</t>
  </si>
  <si>
    <t>pmDE1</t>
  </si>
  <si>
    <t>pmRA2</t>
  </si>
  <si>
    <t>pmDE2</t>
  </si>
  <si>
    <t>Plx1</t>
  </si>
  <si>
    <t>e_Plx1</t>
  </si>
  <si>
    <t>Plx2</t>
  </si>
  <si>
    <t>e_Plx2</t>
  </si>
  <si>
    <t>RV1</t>
  </si>
  <si>
    <t>RV2</t>
  </si>
  <si>
    <t>PMVD1</t>
  </si>
  <si>
    <t>PMVD2</t>
  </si>
  <si>
    <t>PMVL1</t>
  </si>
  <si>
    <t>PMVL2</t>
  </si>
  <si>
    <t>Vt1</t>
  </si>
  <si>
    <t>Vt2</t>
  </si>
  <si>
    <t>V1</t>
  </si>
  <si>
    <t>V2</t>
  </si>
  <si>
    <t>Plane1</t>
  </si>
  <si>
    <t>Plane2</t>
  </si>
  <si>
    <t>Sharp1</t>
  </si>
  <si>
    <t>Sharp2</t>
  </si>
  <si>
    <t>Lum1</t>
  </si>
  <si>
    <t>Lum2</t>
  </si>
  <si>
    <t>M1</t>
  </si>
  <si>
    <t>M2</t>
  </si>
  <si>
    <t>M1_50</t>
  </si>
  <si>
    <t>M2_50</t>
  </si>
  <si>
    <t>P_min</t>
  </si>
  <si>
    <t>P_med</t>
  </si>
  <si>
    <t>Comp</t>
  </si>
  <si>
    <t>Object</t>
  </si>
  <si>
    <t>Min_Dist_AU</t>
  </si>
  <si>
    <t>Median_AU</t>
  </si>
  <si>
    <t>Max_Dist_AU</t>
  </si>
  <si>
    <t>RCD1_Lyrs</t>
  </si>
  <si>
    <t>RCD2_Lyrs</t>
  </si>
  <si>
    <t>RD_Lyrs</t>
  </si>
  <si>
    <t>Min_D_Lyrs</t>
  </si>
  <si>
    <t>Med_D_Lyrs</t>
  </si>
  <si>
    <t>Max_D_Lyrs</t>
  </si>
  <si>
    <t>P_Lum_min</t>
  </si>
  <si>
    <t>P_Lum_med</t>
  </si>
  <si>
    <t>P_M50_min</t>
  </si>
  <si>
    <t>P_M50_med</t>
  </si>
  <si>
    <t>Content description</t>
  </si>
  <si>
    <t>=</t>
  </si>
  <si>
    <t>Minimum spatial distance in AU between components</t>
  </si>
  <si>
    <t>Median spatial distance in AU between components</t>
  </si>
  <si>
    <t>Maximum spatial distance in AU between components</t>
  </si>
  <si>
    <t>Likelihood of potential gravitational relationship</t>
  </si>
  <si>
    <t>Minimum period with Sun mass</t>
  </si>
  <si>
    <t>Median period with Sun mass</t>
  </si>
  <si>
    <t>e_Plx &lt;0,05%?</t>
  </si>
  <si>
    <t>e_Plx2 &lt;0,05%?</t>
  </si>
  <si>
    <t>Transverse velocity primary</t>
  </si>
  <si>
    <t>Transverse velocity secondary</t>
  </si>
  <si>
    <t>Spatial velocity primary in km/s</t>
  </si>
  <si>
    <t>Spatial velocity secondary in km/s</t>
  </si>
  <si>
    <t>Direction of spatial movement primary in degrees. If 90&lt;Plane&lt;270 then towards Solar Neighborhood</t>
  </si>
  <si>
    <t>Direction of spatial movement secondary in degrees. If 90&lt;Plane&lt;270 then towards Solar Neighborhood</t>
  </si>
  <si>
    <t>Angle between spatial and radial velocity primary in degrees (0-45° more radial, 45-90° more tangential)</t>
  </si>
  <si>
    <t>Angle between spatial and radial velocity secondary in degrees (0-45° more radial, 45-90° more tangential)</t>
  </si>
  <si>
    <t>Mass primary calculated from luminosity^n with n = 1/2.3 for m&lt;0.43, n=1/4 for 0.43&lt;m&lt;2 and n=1/3.5 for m&gt;2</t>
  </si>
  <si>
    <t>Mass secondary calculated from luminosity^n with n = 1/2.3 for m&lt;0.43, n=1/4 for 0.43&lt;m&lt;2 and n=1/3.5 for m&gt;2</t>
  </si>
  <si>
    <t>Minimum period with luminosity mass</t>
  </si>
  <si>
    <t>Median period with luminosity mass</t>
  </si>
  <si>
    <t>Mass50 value primary from StarHorse catalog</t>
  </si>
  <si>
    <t>Mass50 value secondary from StarHorse catalog</t>
  </si>
  <si>
    <t>Minimum period with mass50 value</t>
  </si>
  <si>
    <t>Median period with mass50 value</t>
  </si>
  <si>
    <t>- The smallest, median and largest distance is the smallest, median and largest result of the simulation sample</t>
  </si>
  <si>
    <t>- GAIA DR2 data for RA/Dec and Plx are used for a Monte Carlo simulation assuming a normal distribution for these parameters with the given error range as standard deviation. The distance between the components is calculated from the inverted simulated parallax data and the simulated angular separation using the law of cosine √(a^2-2*a*b*cos(γ)+b^2 ) with a and b = distance vectors for the stars A and B in lightyears calculated as (1000/Plx)*3.261631 and γ = angular separation in degrees calculated as γ = arccos(sin(DE1)*sin(DE2)+cos(DE1)*cos(DE2)*cos(abs(RA1-RA2)))</t>
  </si>
  <si>
    <t>TR1_AU</t>
  </si>
  <si>
    <t>TR2_AU</t>
  </si>
  <si>
    <t>&lt;max_D</t>
  </si>
  <si>
    <t>0</t>
  </si>
  <si>
    <t>Tidal radius accordint to M1_50</t>
  </si>
  <si>
    <t>Tidal radius accordint to M2_50</t>
  </si>
  <si>
    <t>LPGR</t>
  </si>
  <si>
    <t>1 if Max_Dist_AU&lt;TR1+TR2</t>
  </si>
  <si>
    <t>- The likelihood for potential gravitational relationship (LPGR) is the percentage of simulation distance &lt;TR1+TR2 out of the simulation sample with a size of 120,000 corresponding with the likelihood that the real distance is smaller than TR1+TR2 with an margin of error of 0.37% at 99% confidence</t>
  </si>
  <si>
    <t>- Ignoring the likely effects of eccentricity the smallest/median/largest distance is used as estimation for the value for the semi-major axis of a potential orbit allowing for the calculation of a smallest/median/largest possible orbit period assuming zero inclination using either median mass data from StgarHorse () Anders et al. 2019) or if not available mass data from other sources (for example estimation from luminosity or other estimation methods)</t>
  </si>
  <si>
    <t>- The tidal radius TR of the components is calculated as equivalent to the outer rim of the assumed Oort cloud for the Sun for a corresponding gravitational acceleration of 5.87329*10-13 m/s2</t>
  </si>
  <si>
    <t>Description of the PGR assessment procedure (according to Knapp 2018, extended):</t>
  </si>
  <si>
    <t>1</t>
  </si>
  <si>
    <t>1278391075716738560</t>
  </si>
  <si>
    <t xml:space="preserve"> </t>
  </si>
  <si>
    <t>1278392381386793856</t>
  </si>
  <si>
    <t>Date</t>
  </si>
  <si>
    <t>Gmag1</t>
  </si>
  <si>
    <t>e_Gm1</t>
  </si>
  <si>
    <t>Gmag2</t>
  </si>
  <si>
    <t>e_Gm2</t>
  </si>
  <si>
    <t>Select both stars in Aladin with GAIA DR2 loaded and copy data into lines 2 and 3 (and for use with German decimal comma replace all points by commas)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</si>
</sst>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000"/>
    <numFmt numFmtId="165" formatCode="0.000"/>
    <numFmt numFmtId="166" formatCode="0.0000"/>
    <numFmt numFmtId="167" formatCode="0.000000000"/>
    <numFmt numFmtId="168" formatCode="0.000000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ourier New"/>
      <family val="3"/>
    </font>
    <font>
      <b/>
      <sz val="9"/>
      <color rgb="FFFF0000"/>
      <name val="Courier New"/>
      <family val="3"/>
    </font>
    <font>
      <sz val="8"/>
      <name val="Courier New"/>
      <family val="3"/>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54">
    <xf numFmtId="0" fontId="0" fillId="0" borderId="0" xfId="0"/>
    <xf numFmtId="49" fontId="0" fillId="0" borderId="0" xfId="0" applyNumberFormat="1"/>
    <xf numFmtId="49" fontId="0" fillId="33" borderId="10" xfId="0" applyNumberFormat="1" applyFill="1" applyBorder="1" applyAlignment="1">
      <alignment horizontal="center"/>
    </xf>
    <xf numFmtId="164" fontId="18" fillId="0" borderId="0" xfId="0" applyNumberFormat="1" applyFont="1"/>
    <xf numFmtId="43" fontId="0" fillId="33" borderId="10" xfId="42" applyFont="1" applyFill="1" applyBorder="1" applyAlignment="1">
      <alignment horizontal="center" wrapText="1"/>
    </xf>
    <xf numFmtId="166" fontId="0" fillId="0" borderId="0" xfId="0" applyNumberFormat="1"/>
    <xf numFmtId="167" fontId="0" fillId="0" borderId="0" xfId="0" applyNumberFormat="1"/>
    <xf numFmtId="49" fontId="0" fillId="34" borderId="0" xfId="0" applyNumberFormat="1" applyFill="1"/>
    <xf numFmtId="11" fontId="0" fillId="34" borderId="0" xfId="0" applyNumberFormat="1" applyFill="1"/>
    <xf numFmtId="164" fontId="20" fillId="0" borderId="0" xfId="0" applyNumberFormat="1" applyFont="1"/>
    <xf numFmtId="0" fontId="0" fillId="0" borderId="0" xfId="0" applyAlignment="1">
      <alignment horizontal="center"/>
    </xf>
    <xf numFmtId="49" fontId="0" fillId="0" borderId="0" xfId="0" applyNumberFormat="1" applyFill="1"/>
    <xf numFmtId="11" fontId="0" fillId="0" borderId="0" xfId="0" applyNumberFormat="1" applyFill="1"/>
    <xf numFmtId="49" fontId="0" fillId="33" borderId="11" xfId="0" applyNumberFormat="1" applyFill="1" applyBorder="1" applyAlignment="1">
      <alignment horizontal="center"/>
    </xf>
    <xf numFmtId="2" fontId="0" fillId="33" borderId="10" xfId="0" applyNumberFormat="1" applyFill="1" applyBorder="1" applyAlignment="1">
      <alignment horizontal="center"/>
    </xf>
    <xf numFmtId="166" fontId="0" fillId="33" borderId="10" xfId="0" applyNumberFormat="1" applyFill="1" applyBorder="1" applyAlignment="1">
      <alignment horizontal="center"/>
    </xf>
    <xf numFmtId="168" fontId="0" fillId="33" borderId="10" xfId="0" applyNumberFormat="1" applyFill="1" applyBorder="1" applyAlignment="1">
      <alignment horizontal="center"/>
    </xf>
    <xf numFmtId="165" fontId="0" fillId="33" borderId="10" xfId="0" applyNumberFormat="1" applyFill="1" applyBorder="1" applyAlignment="1">
      <alignment horizontal="center"/>
    </xf>
    <xf numFmtId="49" fontId="0" fillId="33" borderId="10" xfId="0" applyNumberFormat="1" applyFill="1" applyBorder="1" applyAlignment="1">
      <alignment horizontal="center" wrapText="1"/>
    </xf>
    <xf numFmtId="0" fontId="0" fillId="0" borderId="0" xfId="0" applyNumberFormat="1" applyAlignment="1"/>
    <xf numFmtId="49" fontId="0" fillId="0" borderId="0" xfId="0" applyNumberFormat="1" applyAlignment="1"/>
    <xf numFmtId="49" fontId="0" fillId="0" borderId="11" xfId="0" applyNumberFormat="1" applyFill="1" applyBorder="1" applyAlignment="1">
      <alignment horizontal="center"/>
    </xf>
    <xf numFmtId="49" fontId="0" fillId="0" borderId="11" xfId="0" applyNumberFormat="1" applyFill="1" applyBorder="1"/>
    <xf numFmtId="165" fontId="20" fillId="0" borderId="0" xfId="42" applyNumberFormat="1" applyFont="1"/>
    <xf numFmtId="165" fontId="20" fillId="0" borderId="0" xfId="0" applyNumberFormat="1" applyFont="1"/>
    <xf numFmtId="165" fontId="20" fillId="0" borderId="0" xfId="0" applyNumberFormat="1" applyFont="1" applyAlignment="1">
      <alignment wrapText="1"/>
    </xf>
    <xf numFmtId="165" fontId="18" fillId="0" borderId="0" xfId="0" applyNumberFormat="1" applyFont="1" applyAlignment="1">
      <alignment wrapText="1"/>
    </xf>
    <xf numFmtId="0" fontId="18" fillId="0" borderId="0" xfId="0" applyNumberFormat="1" applyFont="1" applyAlignment="1">
      <alignment horizontal="center" wrapText="1"/>
    </xf>
    <xf numFmtId="0" fontId="19" fillId="0" borderId="0" xfId="0" applyNumberFormat="1" applyFont="1" applyAlignment="1">
      <alignment horizontal="center" wrapText="1"/>
    </xf>
    <xf numFmtId="164" fontId="18" fillId="0" borderId="0" xfId="42" applyNumberFormat="1" applyFont="1" applyAlignment="1">
      <alignment wrapText="1"/>
    </xf>
    <xf numFmtId="165" fontId="18" fillId="0" borderId="0" xfId="42" applyNumberFormat="1" applyFont="1" applyAlignment="1">
      <alignment wrapText="1"/>
    </xf>
    <xf numFmtId="0" fontId="0" fillId="0" borderId="0" xfId="0" applyNumberFormat="1" applyFill="1"/>
    <xf numFmtId="2" fontId="0" fillId="0" borderId="0" xfId="0" applyNumberFormat="1" applyFill="1"/>
    <xf numFmtId="166" fontId="0" fillId="0" borderId="0" xfId="0" applyNumberFormat="1" applyFill="1"/>
    <xf numFmtId="168" fontId="0" fillId="0" borderId="0" xfId="0" applyNumberFormat="1" applyFill="1"/>
    <xf numFmtId="165" fontId="0" fillId="0" borderId="0" xfId="0" applyNumberFormat="1" applyFill="1"/>
    <xf numFmtId="0" fontId="0" fillId="0" borderId="0" xfId="0" applyNumberFormat="1" applyFill="1" applyAlignment="1">
      <alignment horizontal="center"/>
    </xf>
    <xf numFmtId="0" fontId="0" fillId="0" borderId="0" xfId="0" applyNumberFormat="1" applyFill="1" applyAlignment="1">
      <alignment wrapText="1"/>
    </xf>
    <xf numFmtId="43" fontId="0" fillId="0" borderId="0" xfId="42" applyFont="1" applyFill="1"/>
    <xf numFmtId="1" fontId="19" fillId="0" borderId="0" xfId="0" applyNumberFormat="1" applyFont="1" applyFill="1" applyAlignment="1">
      <alignment horizontal="center"/>
    </xf>
    <xf numFmtId="49" fontId="18" fillId="0" borderId="0" xfId="0" applyNumberFormat="1" applyFont="1" applyFill="1" applyAlignment="1">
      <alignment horizontal="left"/>
    </xf>
    <xf numFmtId="0" fontId="18" fillId="0" borderId="0" xfId="0" applyFont="1" applyAlignment="1">
      <alignment horizontal="left"/>
    </xf>
    <xf numFmtId="165" fontId="18" fillId="0" borderId="0" xfId="0" applyNumberFormat="1" applyFont="1" applyAlignment="1">
      <alignment horizontal="left"/>
    </xf>
    <xf numFmtId="2" fontId="18" fillId="0" borderId="0" xfId="0" applyNumberFormat="1" applyFont="1" applyAlignment="1">
      <alignment horizontal="left"/>
    </xf>
    <xf numFmtId="165" fontId="18" fillId="0" borderId="0" xfId="0" applyNumberFormat="1" applyFont="1" applyFill="1" applyBorder="1" applyAlignment="1">
      <alignment horizontal="left"/>
    </xf>
    <xf numFmtId="0" fontId="0" fillId="0" borderId="0" xfId="0" applyAlignment="1">
      <alignment wrapText="1"/>
    </xf>
    <xf numFmtId="49" fontId="18" fillId="0" borderId="0" xfId="0" applyNumberFormat="1" applyFont="1" applyFill="1" applyAlignment="1">
      <alignment horizontal="left" wrapText="1"/>
    </xf>
    <xf numFmtId="2" fontId="18" fillId="0" borderId="0" xfId="0" applyNumberFormat="1" applyFont="1" applyAlignment="1">
      <alignment horizontal="left" wrapText="1"/>
    </xf>
    <xf numFmtId="165" fontId="18" fillId="0" borderId="0" xfId="0" applyNumberFormat="1" applyFont="1" applyFill="1" applyBorder="1" applyAlignment="1">
      <alignment horizontal="left" wrapText="1"/>
    </xf>
    <xf numFmtId="49" fontId="18" fillId="0" borderId="0" xfId="0" applyNumberFormat="1" applyFont="1" applyAlignment="1">
      <alignment wrapText="1"/>
    </xf>
    <xf numFmtId="0" fontId="0" fillId="0" borderId="0" xfId="0" applyNumberFormat="1" applyAlignment="1">
      <alignment horizontal="center"/>
    </xf>
    <xf numFmtId="49" fontId="0" fillId="0" borderId="0" xfId="0" applyNumberFormat="1" applyAlignment="1">
      <alignment horizontal="center"/>
    </xf>
    <xf numFmtId="0" fontId="18" fillId="0" borderId="0" xfId="0" applyFont="1"/>
    <xf numFmtId="165" fontId="18" fillId="0" borderId="0" xfId="0" applyNumberFormat="1" applyFont="1"/>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Komma" xfId="42" builtinId="3"/>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workbookViewId="0">
      <selection activeCell="E11" sqref="E11"/>
    </sheetView>
  </sheetViews>
  <sheetFormatPr baseColWidth="10" defaultRowHeight="14.5" x14ac:dyDescent="0.35"/>
  <cols>
    <col min="1" max="1" width="20.1796875" customWidth="1"/>
    <col min="2" max="2" width="13.54296875" style="6" customWidth="1"/>
    <col min="3" max="3" width="10.26953125" style="5" customWidth="1"/>
    <col min="4" max="4" width="13.26953125" style="6" customWidth="1"/>
    <col min="5" max="5" width="9.7265625" style="5" customWidth="1"/>
    <col min="6" max="6" width="8.26953125" customWidth="1"/>
    <col min="7" max="7" width="8.453125" customWidth="1"/>
    <col min="8" max="8" width="9.453125" customWidth="1"/>
    <col min="9" max="9" width="11" bestFit="1" customWidth="1"/>
    <col min="10" max="10" width="12.26953125" bestFit="1" customWidth="1"/>
    <col min="11" max="11" width="11" bestFit="1" customWidth="1"/>
    <col min="12" max="12" width="8.54296875" customWidth="1"/>
    <col min="13" max="14" width="11" bestFit="1" customWidth="1"/>
    <col min="16" max="17" width="11.1796875" bestFit="1" customWidth="1"/>
    <col min="18" max="18" width="11.453125" bestFit="1" customWidth="1"/>
    <col min="19" max="20" width="11" bestFit="1" customWidth="1"/>
    <col min="21" max="21" width="11.26953125" bestFit="1" customWidth="1"/>
    <col min="22" max="22" width="10.81640625" bestFit="1" customWidth="1"/>
    <col min="23" max="23" width="11.7265625" bestFit="1" customWidth="1"/>
    <col min="24" max="24" width="11.26953125" bestFit="1" customWidth="1"/>
    <col min="25" max="25" width="13.1796875" customWidth="1"/>
    <col min="26" max="26" width="14.81640625" customWidth="1"/>
    <col min="29" max="29" width="11" bestFit="1" customWidth="1"/>
    <col min="31" max="39" width="11" bestFit="1" customWidth="1"/>
    <col min="40" max="40" width="11.7265625" bestFit="1" customWidth="1"/>
    <col min="41" max="48" width="11" bestFit="1" customWidth="1"/>
    <col min="54" max="54" width="14.453125" bestFit="1" customWidth="1"/>
    <col min="56" max="56" width="14.453125" bestFit="1" customWidth="1"/>
    <col min="57" max="57" width="11.7265625" bestFit="1" customWidth="1"/>
    <col min="58" max="58" width="14.453125" bestFit="1" customWidth="1"/>
    <col min="60" max="60" width="14.453125" bestFit="1" customWidth="1"/>
  </cols>
  <sheetData>
    <row r="1" spans="1:48" x14ac:dyDescent="0.35">
      <c r="A1" t="s">
        <v>138</v>
      </c>
    </row>
    <row r="2" spans="1:48" s="1" customFormat="1" x14ac:dyDescent="0.35">
      <c r="A2" s="7">
        <v>228.87568782256201</v>
      </c>
      <c r="B2" s="7">
        <v>33.314832837282999</v>
      </c>
      <c r="C2" s="7" t="s">
        <v>7</v>
      </c>
      <c r="D2" s="7">
        <v>228.87611313762</v>
      </c>
      <c r="E2" s="7">
        <v>0.30690000000000001</v>
      </c>
      <c r="F2" s="7">
        <v>33.314351006460001</v>
      </c>
      <c r="G2" s="7">
        <v>0.2903</v>
      </c>
      <c r="H2" s="7" t="s">
        <v>130</v>
      </c>
      <c r="I2" s="7">
        <v>26.779699999999998</v>
      </c>
      <c r="J2" s="7">
        <v>0.38059999999999999</v>
      </c>
      <c r="K2" s="7">
        <v>82.549000000000007</v>
      </c>
      <c r="L2" s="7">
        <v>0.55400000000000005</v>
      </c>
      <c r="M2" s="7">
        <v>-111.90900000000001</v>
      </c>
      <c r="N2" s="7">
        <v>0.56000000000000005</v>
      </c>
      <c r="O2" s="7" t="s">
        <v>129</v>
      </c>
      <c r="P2" s="8">
        <v>1132700000</v>
      </c>
      <c r="Q2" s="8">
        <v>4420700</v>
      </c>
      <c r="R2" s="7">
        <v>3.0531000000000001</v>
      </c>
      <c r="S2" s="7">
        <v>4.1999999999999997E-3</v>
      </c>
      <c r="T2" s="8">
        <v>397070000</v>
      </c>
      <c r="U2" s="8">
        <v>8298900</v>
      </c>
      <c r="V2" s="7">
        <v>3.8542000000000001</v>
      </c>
      <c r="W2" s="7">
        <v>2.2700000000000001E-2</v>
      </c>
      <c r="X2" s="8">
        <v>709670000</v>
      </c>
      <c r="Y2" s="8">
        <v>7751700</v>
      </c>
      <c r="Z2" s="7">
        <v>2.6343000000000001</v>
      </c>
      <c r="AA2" s="7">
        <v>1.1900000000000001E-2</v>
      </c>
      <c r="AB2" s="7">
        <v>1.2199</v>
      </c>
      <c r="AC2" s="7" t="s">
        <v>131</v>
      </c>
      <c r="AD2" s="7" t="s">
        <v>131</v>
      </c>
      <c r="AE2" s="7">
        <v>4707.25</v>
      </c>
      <c r="AF2" s="7" t="s">
        <v>131</v>
      </c>
      <c r="AG2" s="7" t="s">
        <v>131</v>
      </c>
      <c r="AH2" s="7">
        <v>12.97</v>
      </c>
      <c r="AI2" s="7">
        <v>74.382999999999996</v>
      </c>
    </row>
    <row r="3" spans="1:48" s="1" customFormat="1" x14ac:dyDescent="0.35">
      <c r="A3" s="7">
        <v>228.90978741853999</v>
      </c>
      <c r="B3" s="7">
        <v>33.320921872073498</v>
      </c>
      <c r="C3" s="7" t="s">
        <v>7</v>
      </c>
      <c r="D3" s="7">
        <v>228.91021392921999</v>
      </c>
      <c r="E3" s="7">
        <v>1.9E-2</v>
      </c>
      <c r="F3" s="7">
        <v>33.320448089819998</v>
      </c>
      <c r="G3" s="7">
        <v>2.1899999999999999E-2</v>
      </c>
      <c r="H3" s="7" t="s">
        <v>132</v>
      </c>
      <c r="I3" s="7">
        <v>27.064800000000002</v>
      </c>
      <c r="J3" s="7">
        <v>3.0700000000000002E-2</v>
      </c>
      <c r="K3" s="7">
        <v>82.775999999999996</v>
      </c>
      <c r="L3" s="7">
        <v>0.04</v>
      </c>
      <c r="M3" s="7">
        <v>-110.04</v>
      </c>
      <c r="N3" s="7">
        <v>4.3999999999999997E-2</v>
      </c>
      <c r="O3" s="7" t="s">
        <v>120</v>
      </c>
      <c r="P3" s="8">
        <v>16198000</v>
      </c>
      <c r="Q3" s="8">
        <v>3062.1</v>
      </c>
      <c r="R3" s="7">
        <v>7.6646999999999998</v>
      </c>
      <c r="S3" s="7">
        <v>2.0000000000000001E-4</v>
      </c>
      <c r="T3" s="8">
        <v>8763100</v>
      </c>
      <c r="U3" s="8">
        <v>9969.7000000000007</v>
      </c>
      <c r="V3" s="7">
        <v>7.9946999999999999</v>
      </c>
      <c r="W3" s="7">
        <v>1.1999999999999999E-3</v>
      </c>
      <c r="X3" s="8">
        <v>10486000</v>
      </c>
      <c r="Y3" s="8">
        <v>9543.9</v>
      </c>
      <c r="Z3" s="7">
        <v>7.2103999999999999</v>
      </c>
      <c r="AA3" s="7">
        <v>1E-3</v>
      </c>
      <c r="AB3" s="7">
        <v>0.7843</v>
      </c>
      <c r="AC3" s="7">
        <v>-11.83</v>
      </c>
      <c r="AD3" s="7">
        <v>0.18</v>
      </c>
      <c r="AE3" s="7">
        <v>5850</v>
      </c>
      <c r="AF3" s="7">
        <v>4.2500000000000003E-2</v>
      </c>
      <c r="AG3" s="7">
        <v>2.1299999999999999E-2</v>
      </c>
      <c r="AH3" s="7">
        <v>0.91</v>
      </c>
      <c r="AI3" s="7">
        <v>0.87</v>
      </c>
    </row>
    <row r="4" spans="1:48" s="20" customFormat="1" ht="29" x14ac:dyDescent="0.35">
      <c r="A4" s="13" t="s">
        <v>11</v>
      </c>
      <c r="B4" s="13" t="s">
        <v>1</v>
      </c>
      <c r="C4" s="13" t="s">
        <v>6</v>
      </c>
      <c r="D4" s="13" t="s">
        <v>12</v>
      </c>
      <c r="E4" s="13" t="s">
        <v>13</v>
      </c>
      <c r="F4" s="13" t="s">
        <v>4</v>
      </c>
      <c r="G4" s="13" t="s">
        <v>5</v>
      </c>
      <c r="H4" s="13" t="s">
        <v>14</v>
      </c>
      <c r="I4" s="13" t="s">
        <v>15</v>
      </c>
      <c r="J4" s="13" t="s">
        <v>16</v>
      </c>
      <c r="K4" s="13" t="s">
        <v>17</v>
      </c>
      <c r="L4" s="13" t="s">
        <v>18</v>
      </c>
      <c r="M4" s="14" t="s">
        <v>0</v>
      </c>
      <c r="N4" s="15" t="s">
        <v>8</v>
      </c>
      <c r="O4" s="14" t="s">
        <v>19</v>
      </c>
      <c r="P4" s="16" t="s">
        <v>20</v>
      </c>
      <c r="Q4" s="14" t="s">
        <v>21</v>
      </c>
      <c r="R4" s="14" t="s">
        <v>22</v>
      </c>
      <c r="S4" s="15" t="s">
        <v>23</v>
      </c>
      <c r="T4" s="14" t="s">
        <v>24</v>
      </c>
      <c r="U4" s="14" t="s">
        <v>25</v>
      </c>
      <c r="V4" s="17" t="s">
        <v>26</v>
      </c>
      <c r="W4" s="2" t="s">
        <v>27</v>
      </c>
      <c r="X4" s="2" t="s">
        <v>28</v>
      </c>
      <c r="Y4" s="2" t="s">
        <v>29</v>
      </c>
      <c r="Z4" s="2" t="s">
        <v>30</v>
      </c>
      <c r="AA4" s="2" t="s">
        <v>31</v>
      </c>
      <c r="AB4" s="2" t="s">
        <v>32</v>
      </c>
      <c r="AC4" s="2" t="s">
        <v>2</v>
      </c>
      <c r="AD4" s="18" t="s">
        <v>3</v>
      </c>
      <c r="AE4" s="4" t="s">
        <v>33</v>
      </c>
      <c r="AF4" s="2" t="s">
        <v>2</v>
      </c>
      <c r="AG4" s="2" t="s">
        <v>3</v>
      </c>
      <c r="AH4" s="4" t="s">
        <v>34</v>
      </c>
      <c r="AI4" s="2" t="s">
        <v>2</v>
      </c>
      <c r="AJ4" s="2" t="s">
        <v>3</v>
      </c>
      <c r="AK4" s="4" t="s">
        <v>35</v>
      </c>
      <c r="AL4" s="18" t="s">
        <v>36</v>
      </c>
      <c r="AM4" s="18" t="s">
        <v>37</v>
      </c>
      <c r="AN4" s="18" t="s">
        <v>38</v>
      </c>
      <c r="AO4" s="18" t="s">
        <v>39</v>
      </c>
      <c r="AP4" s="19"/>
      <c r="AQ4" s="19"/>
      <c r="AR4" s="19"/>
      <c r="AS4" s="19"/>
      <c r="AT4" s="19"/>
      <c r="AU4" s="19"/>
    </row>
    <row r="5" spans="1:48" s="11" customFormat="1" x14ac:dyDescent="0.35">
      <c r="A5" s="21" t="str">
        <f>H2</f>
        <v>1278391075716738560</v>
      </c>
      <c r="B5" s="22">
        <f>D2</f>
        <v>228.87611313762</v>
      </c>
      <c r="C5" s="22">
        <f t="shared" ref="C5:E6" si="0">E2</f>
        <v>0.30690000000000001</v>
      </c>
      <c r="D5" s="22">
        <f t="shared" si="0"/>
        <v>33.314351006460001</v>
      </c>
      <c r="E5" s="22">
        <f t="shared" si="0"/>
        <v>0.2903</v>
      </c>
      <c r="F5" s="22">
        <f>I2</f>
        <v>26.779699999999998</v>
      </c>
      <c r="G5" s="22">
        <f t="shared" ref="G5:K6" si="1">J2</f>
        <v>0.38059999999999999</v>
      </c>
      <c r="H5" s="22">
        <f t="shared" si="1"/>
        <v>82.549000000000007</v>
      </c>
      <c r="I5" s="22">
        <f t="shared" si="1"/>
        <v>0.55400000000000005</v>
      </c>
      <c r="J5" s="22">
        <f t="shared" si="1"/>
        <v>-111.90900000000001</v>
      </c>
      <c r="K5" s="22">
        <f t="shared" si="1"/>
        <v>0.56000000000000005</v>
      </c>
      <c r="L5" s="22">
        <f>R2</f>
        <v>3.0531000000000001</v>
      </c>
      <c r="M5" s="9">
        <f>ACOS(SIN(D5/180*PI())*SIN(D6/180*PI())+COS(D5/180*PI())*COS(D6/180*PI())*COS(ABS(B5/180*PI()-B6/180*PI())))*180/PI()*3600</f>
        <v>104.90753095546009</v>
      </c>
      <c r="N5" s="9">
        <f>SQRT(C5^2+E5^2+C6^2+E6^2)/1000</f>
        <v>4.2344103485609418E-4</v>
      </c>
      <c r="O5" s="23">
        <f>IF(D5=D6,IF(((IF(IF(B5&lt;B6,IF(B6-B5&gt;180,B6-360,B6),B6)*PI()/180-IF(B6&lt;B5,IF(B5-B6&gt;180,B5-360,B5),B5)*PI()/180&gt;0,1,0))+(IF(D6*PI()/180-(D5+0.0000000001)*PI()/180&gt;0,2,0)))=3,ATAN(((IF(B5&lt;B6,IF(B6-B5&gt;180,B6-360,B6),B6)*PI()/180-IF(B6&lt;B5,IF(B5-B6&gt;180,B5-360,B5),B5)*PI()/180)*(COS((D5+0.0000000001)*PI()/180))/(D6*PI()/180-(D5+0.0000000001)*PI()/180))),IF(((IF(IF(B5&lt;B6,IF(B6-B5&gt;180,B6-360,B6),B6)*PI()/180-IF(B6&lt;B5,IF(B5-B6&gt;180,B5-360,B5),B5)*PI()/180&gt;0,1,0))+(IF(D6*PI()/180-(D5+0.0000000001)*PI()/180&gt;0,2,0)))=1,ATAN(((IF(B5&lt;B6,IF(B6-B5&gt;180,B6-360,B6),B6)*PI()/180-IF(B6&lt;B5,IF(B5-B6&gt;180,B5-360,B5),B5)*PI()/180)*(COS((D5+0.0000000001)*PI()/180))/(D6*PI()/180-(D5+0.0000000001)*PI()/180)))+PI(),IF(((IF(IF(B5&lt;B6,IF(B6-B5&gt;180,B6-360,B6),B6)*PI()/180-IF(B6&lt;B5,IF(B5-B6&gt;180,B5-360,B5),B5)*PI()/180&gt;0,1,0))+(IF(D6*PI()/180-(D5+0.0000000001)*PI()/180&gt;0,2,0)))=0,ATAN(((IF(B5&lt;B6,IF(B6-B5&gt;180,B6-360,B6),B6)*PI()/180-IF(B6&lt;B5,IF(B5-B6&gt;180,B5-360,B5),B5)*PI()/180)*(COS((D5+0.0000000001)*PI()/180))/(D6*PI()/180-(D5+0.0000000001)*PI()/180)))+PI(),ATAN(((IF(B5&lt;B6,IF(B6-B5&gt;180,B6-360,B6),B6)*PI()/180-IF(B6&lt;B5,IF(B5-B6&gt;180,B5-360,B5),B5)*PI()/180)*(COS((D5+0.0000000001)*PI()/180))/(D6*PI()/180-(D5+0.0000000001)*PI()/180)))+2*PI())))*180/PI(),IF(((IF(IF(B5&lt;B6,IF(B6-B5&gt;180,B6-360,B6),B6)*PI()/180-IF(B6&lt;B5,IF(B5-B6&gt;180,B5-360,B5),B5)*PI()/180&gt;0,1,0))+(IF(D6*PI()/180-D5*PI()/180&gt;0,2,0)))=3,ATAN(((IF(B5&lt;B6,IF(B6-B5&gt;180,B6-360,B6),B6)*PI()/180-IF(B6&lt;B5,IF(B5-B6&gt;180,B5-360,B5),B5)*PI()/180)*(COS(D5*PI()/180))/(D6*PI()/180-D5*PI()/180))),IF(((IF(IF(B5&lt;B6,IF(B6-B5&gt;180,B6-360,B6),B6)*PI()/180-IF(B6&lt;B5,IF(B5-B6&gt;180,B5-360,B5),B5)*PI()/180&gt;0,1,0))+(IF(D6*PI()/180-D5*PI()/180&gt;0,2,0)))=1,ATAN(((IF(B5&lt;B6,IF(B6-B5&gt;180,B6-360,B6),B6)*PI()/180-IF(B6&lt;B5,IF(B5-B6&gt;180,B5-360,B5),B5)*PI()/180)*(COS(D5*PI()/180))/(D6*PI()/180-D5*PI()/180)))+PI(),IF(((IF(IF(B5&lt;B6,IF(B6-B5&gt;180,B6-360,B6),B6)*PI()/180-IF(B6&lt;B5,IF(B5-B6&gt;180,B5-360,B5),B5)*PI()/180&gt;0,1,0))+(IF(D6*PI()/180-D5*PI()/180&gt;0,2,0)))=0,ATAN(((IF(B5&lt;B6,IF(B6-B5&gt;180,B6-360,B6),B6)*PI()/180-IF(B6&lt;B5,IF(B5-B6&gt;180,B5-360,B5),B5)*PI()/180)*(COS(D5*PI()/180))/(D6*PI()/180-D5*PI()/180)))+PI(),ATAN(((IF(B5&lt;B6,IF(B6-B5&gt;180,B6-360,B6),B6)*PI()/180-IF(B6&lt;B5,IF(B5-B6&gt;180,B5-360,B5),B5)*PI()/180)*(COS(D5*PI()/180))/(D6*PI()/180-D5*PI()/180)))+2*PI())))*180/PI())</f>
        <v>77.923346924230117</v>
      </c>
      <c r="P5" s="24">
        <f>ATAN(N5/M5)*180/PI()</f>
        <v>2.3126446641924043E-4</v>
      </c>
      <c r="Q5" s="25">
        <f>IF(IF(H5&gt;0,IF(J5&gt;0,0,1),IF(J5&lt;0,2,3))=0,DEGREES(ATAN(SQRT((SQRT(H5^2+J5^2)-(H5^2/SQRT(H5^2+J5^2)))*(H5^2/SQRT(H5^2+J5^2)))/(SQRT(H5^2+J5^2)-(H5^2/SQRT(H5^2+J5^2))))),IF(IF(H5&gt;0,IF(J5&gt;0,0,1),IF(J5&lt;0,2,3))=1,180-DEGREES(ATAN(SQRT((SQRT(H5^2+J5^2)-(H5^2/SQRT(H5^2+J5^2)))*(H5^2/SQRT(H5^2+J5^2)))/(SQRT(H5^2+J5^2)-(H5^2/SQRT(H5^2+J5^2))))),IF(IF(H5&gt;0,IF(J5&gt;0,0,1),IF(J5&lt;0,2,3))=2,180+DEGREES(ATAN(SQRT((SQRT(H5^2+J5^2)-(H5^2/SQRT(H5^2+J5^2)))*(H5^2/SQRT(H5^2+J5^2)))/(SQRT(H5^2+J5^2)-(H5^2/SQRT(H5^2+J5^2))))),360-DEGREES(ATAN(SQRT((SQRT(H5^2+J5^2)-(H5^2/SQRT(H5^2+J5^2)))*(H5^2/SQRT(H5^2+J5^2)))/(SQRT(H5^2+J5^2)-(H5^2/SQRT(H5^2+J5^2))))))))</f>
        <v>143.58588262194576</v>
      </c>
      <c r="R5" s="26">
        <f>IF(IF(H6&gt;0,IF(J6&gt;0,0,1),IF(J6&lt;0,2,3))=0,DEGREES(ATAN(SQRT((SQRT(H6^2+J6^2)-(H6^2/SQRT(H6^2+J6^2)))*(H6^2/SQRT(H6^2+J6^2)))/(SQRT(H6^2+J6^2)-(H6^2/SQRT(H6^2+J6^2))))),IF(IF(H6&gt;0,IF(J6&gt;0,0,1),IF(J6&lt;0,2,3))=1,180-DEGREES(ATAN(SQRT((SQRT(H6^2+J6^2)-(H6^2/SQRT(H6^2+J6^2)))*(H6^2/SQRT(H6^2+J6^2)))/(SQRT(H6^2+J6^2)-(H6^2/SQRT(H6^2+J6^2))))),IF(IF(H6&gt;0,IF(J6&gt;0,0,1),IF(J6&lt;0,2,3))=2,180+DEGREES(ATAN(SQRT((SQRT(H6^2+J6^2)-(H6^2/SQRT(H6^2+J6^2)))*(H6^2/SQRT(H6^2+J6^2)))/(SQRT(H6^2+J6^2)-(H6^2/SQRT(H6^2+J6^2))))),360-DEGREES(ATAN(SQRT((SQRT(H6^2+J6^2)-(H6^2/SQRT(H6^2+J6^2)))*(H6^2/SQRT(H6^2+J6^2)))/(SQRT(H6^2+J6^2)-(H6^2/SQRT(H6^2+J6^2))))))))</f>
        <v>143.04821420410391</v>
      </c>
      <c r="S5" s="26">
        <f>IF(IF(ATAN(SQRT(SQRT(I5^2+K5^2)^2+SQRT(I6^2+K6^2)^2)/IF(SQRT(M5^2+J5^2)&gt;SQRT(H6^2+J6^2),SQRT(M5^2+J5^2),SQRT(H6^2+J6^2)))*180/PI()&gt;2.86,2.86,ATAN(SQRT(SQRT(I5^2+K5^2)^2+SQRT(I6^2+K6^2)^2)/IF(SQRT(M5^2+J5^2)&gt;SQRT(H6^2+J6^2),SQRT(M5^2+J5^2),SQRT(H6^2+J6^2)))*180/PI())&lt;1,1,IF(ATAN(SQRT(SQRT(I5^2+K5^2)^2+SQRT(I6^2+K6^2)^2)/IF(SQRT(M5^2+J5^2)&gt;SQRT(H6^2+J6^2),SQRT(M5^2+J5^2),SQRT(H6^2+J6^2)))*180/PI()&gt;2.86,2.86,ATAN(SQRT(SQRT(I5^2+K5^2)^2+SQRT(I6^2+K6^2)^2)/IF(SQRT(M5^2+J5^2)&gt;SQRT(H6^2+J6^2),SQRT(M5^2+J5^2),SQRT(H6^2+J6^2)))*180/PI()))</f>
        <v>1</v>
      </c>
      <c r="T5" s="25">
        <f>SQRT(H5^2+J5^2)</f>
        <v>139.06099985977377</v>
      </c>
      <c r="U5" s="26">
        <f>SQRT(H6^2+J6^2)</f>
        <v>137.69774063505909</v>
      </c>
      <c r="V5" s="26">
        <f>(T5+U5)/2*0.01</f>
        <v>1.3837937024741644</v>
      </c>
      <c r="W5" s="27" t="str">
        <f>IF(IF(ABS(Q5-R5)&lt;180,ABS(Q5-R5),360-ABS(Q5-R5))&lt;S5,"A",IF(IF(ABS(Q5-R5)&lt;180,ABS(Q5-R5),360-ABS(Q5-R5))&lt;2*S5,"B",IF(IF(ABS(Q5-R5)&lt;180,ABS(Q5-R5),360-ABS(Q5-R5))&lt;3*S5,"C","D")))</f>
        <v>A</v>
      </c>
      <c r="X5" s="27" t="str">
        <f>IF(ABS(T5-U5)&lt;V5,"A",IF(ABS(T5-U5)&lt;2*V5,"B",IF(ABS(T5-U5)&lt;3*V5,"C","D")))</f>
        <v>A</v>
      </c>
      <c r="Y5" s="27" t="str">
        <f>IF(ROUND((IF(SQRT(I5^2+K5^2)/SQRT(M5^2+J5^2)*100&lt;5,1,IF(SQRT(I5^2+K5^2)/SQRT(M5^2+J5^2)*100&lt;10,2,IF(SQRT(I5^2+K5^2)/SQRT(M5^2+J5^2)*100&lt;15,3,4)))+IF(SQRT(I6^2+K6^2)/SQRT(H6^2+J6^2)*100&lt;5,1,IF(SQRT(I6^2+K6^2)/SQRT(H6^2+J6^2)*100&lt;10,2,IF(SQRT(I6^2+K6^2)/SQRT(H6^2+J6^2)*100&lt;15,3,4))))/2,0)=1,"A",IF(ROUND((IF(SQRT(I5^2+K5^2)/SQRT(M5^2+J5^2)*100&lt;5,1,IF(SQRT(I5^2+K5^2)/SQRT(M5^2+J5^2)*100&lt;10,2,IF(SQRT(I5^2+K5^2)/SQRT(M5^2+J5^2)*100&lt;15,3,4)))+IF(SQRT(I6^2+K6^2)/SQRT(H6^2+J6^2)*100&lt;5,1,IF(SQRT(I6^2+K6^2)/SQRT(H6^2+J6^2)*100&lt;10,2,IF(SQRT(I6^2+K6^2)/SQRT(H6^2+J6^2)*100&lt;15,3,4))))/2,0)=2,"B",IF(ROUND((IF(SQRT(I5^2+K5^2)/SQRT(M5^2+J5^2)*100&lt;5,1,IF(SQRT(I5^2+K5^2)/SQRT(M5^2+J5^2)*100&lt;10,2,IF(SQRT(I5^2+K5^2)/SQRT(M5^2+J5^2)*100&lt;15,3,4)))+IF(SQRT(I6^2+K6^2)/SQRT(H6^2+J6^2)*100&lt;5,1,IF(SQRT(I6^2+K6^2)/SQRT(H6^2+J6^2)*100&lt;10,2,IF(SQRT(I6^2+K6^2)/SQRT(H6^2+J6^2)*100&lt;15,3,4))))/2,0)=3,"C","D")))</f>
        <v>A</v>
      </c>
      <c r="Z5" s="27" t="str">
        <f>IF((M5*1000/((SQRT(H5^2+J5^2)+SQRT(H6^2+J6^2))/2))&lt;100,"A",IF((M5*1000/((SQRT(H5^2+J5^2)+SQRT(H6^2+J6^2))/2))&lt;1000,"B",IF((M5*1000/((SQRT(H5^2+J5^2)+SQRT(H6^2+J6^2))/2))&lt;10000,"C","D")))</f>
        <v>B</v>
      </c>
      <c r="AA5" s="28" t="str">
        <f>W5&amp;X5&amp;Y5&amp;Z5</f>
        <v>AAAB</v>
      </c>
      <c r="AB5" s="28">
        <f>ROUND(IF(MID(AA5,1,1)="A",1,(IF(MID(AA5,1,1)="B",0.8,IF(MID(AA5,1,1)="C",0.2,0.01))))*IF(MID(AA5,2,1)="A",1,(IF(MID(AA5,2,1)="B",0.8,IF(MID(AA5,2,1)="C",0.4,0.05))))*IF(MID(AA5,3,1)="A",1,(IF(MID(AA5,3,1)="B",0.95,IF(MID(AA5,3,1)="C",0.8,0.65))))*IF(MID(AA5,4,1)="A",1,(IF(MID(AA5,4,1)="B",0.97,IF(MID(AA5,4,1)="C",0.95,0.92))))*100,0)</f>
        <v>97</v>
      </c>
      <c r="AC5" s="29">
        <f>IF(1000/(F5+G5)*3.261631&lt;1000/(F6+G6)*3.261631,IF(1000/(F6+G6)*3.261631&lt;1000/(F5-G5)*3.261631,1000/(F6+G6)*3.261631,1000/(F5-G5)*3.261631),1000/(F5+G5)*3.261631)</f>
        <v>120.37537598494215</v>
      </c>
      <c r="AD5" s="29">
        <f>IF(1000/(F5+G5)*3.261631&lt;1000/(F6+G6)*3.261631,1000/(F6+G6)*3.261631,IF(1000/(F5+G5)*3.261631&lt;1000/(F6-G6)*3.261631,1000/(F5+G5)*3.261631,1000/(F6-G6)*3.261631))</f>
        <v>120.37537598494215</v>
      </c>
      <c r="AE5" s="30">
        <f>SQRT(AC5^2+AD5^2-2*AC5*AD5*COS(IF(M5/3600&lt;180,M5/3600,360-M5/3600)*PI()/180))*63241.1</f>
        <v>3871.8506787148526</v>
      </c>
      <c r="AF5" s="29">
        <f>1000/F5*3.261631</f>
        <v>121.79490434918986</v>
      </c>
      <c r="AG5" s="29">
        <f>1000/F6*3.261631</f>
        <v>120.51191954124913</v>
      </c>
      <c r="AH5" s="30">
        <f>SQRT(AF5^2+AG5^2-2*AF5*AG5*COS(IF(M5/3600&lt;180,M5/3600,360-M5/3600)*PI()/180))*63241.1</f>
        <v>81230.893845751081</v>
      </c>
      <c r="AI5" s="29">
        <f>IF(F5&lt;F6,1000/(F5-G5)*3.261631,1000/(F5+G5)*3.261631)</f>
        <v>123.55084074835885</v>
      </c>
      <c r="AJ5" s="29">
        <f>IF(F5&lt;F6,1000/(F6+G6)*3.261631,1000/(F6-G6)*3.261631)</f>
        <v>120.37537598494215</v>
      </c>
      <c r="AK5" s="30">
        <f>SQRT(AI5^2+AJ5^2-2*AI5*AJ5*COS(IF(M5/3600&lt;180,M5/3600,360-M5/3600)*PI()/180))*63241.1</f>
        <v>200858.19067763409</v>
      </c>
      <c r="AL5" s="27" t="str">
        <f>IF(AK5&lt;200000,"A",IF(AH5&lt;200000,"B",IF(AE5&lt;200000,"C","D")))</f>
        <v>B</v>
      </c>
      <c r="AM5" s="27" t="str">
        <f>IF((G5+G6)/(F5+F6)&lt;0.005,"A",IF((G5+G6)/(F5+F6)&lt;0.01,"B",IF((G5+G6)/(F5+F6)&lt;0.015,"C","D")))</f>
        <v>B</v>
      </c>
      <c r="AN5" s="28" t="str">
        <f>AL5&amp;AM5</f>
        <v>BB</v>
      </c>
      <c r="AO5" s="28">
        <f>ROUND(IF(MID(AN5,1,1)="A",1,(IF(MID(AN5,1,1)="B",0.8,IF(MID(AN5,1,1)="C",0.2,0.01))))*IF(MID(AN5,2,1)="A",1,(IF(MID(AN5,2,1)="B",0.95,IF(MID(AN5,2,1)="C",0.8,0.65))))*100,0)</f>
        <v>76</v>
      </c>
      <c r="AP5" s="31"/>
      <c r="AQ5" s="31"/>
      <c r="AR5" s="31"/>
      <c r="AS5" s="31"/>
      <c r="AT5" s="31"/>
      <c r="AU5" s="31"/>
    </row>
    <row r="6" spans="1:48" s="11" customFormat="1" x14ac:dyDescent="0.35">
      <c r="A6" s="21" t="str">
        <f>H3</f>
        <v>1278392381386793856</v>
      </c>
      <c r="B6" s="22">
        <f>D3</f>
        <v>228.91021392921999</v>
      </c>
      <c r="C6" s="22">
        <f t="shared" si="0"/>
        <v>1.9E-2</v>
      </c>
      <c r="D6" s="22">
        <f t="shared" si="0"/>
        <v>33.320448089819998</v>
      </c>
      <c r="E6" s="22">
        <f t="shared" si="0"/>
        <v>2.1899999999999999E-2</v>
      </c>
      <c r="F6" s="22">
        <f>I3</f>
        <v>27.064800000000002</v>
      </c>
      <c r="G6" s="22">
        <f t="shared" si="1"/>
        <v>3.0700000000000002E-2</v>
      </c>
      <c r="H6" s="22">
        <f t="shared" si="1"/>
        <v>82.775999999999996</v>
      </c>
      <c r="I6" s="22">
        <f t="shared" si="1"/>
        <v>0.04</v>
      </c>
      <c r="J6" s="22">
        <f t="shared" si="1"/>
        <v>-110.04</v>
      </c>
      <c r="K6" s="22">
        <f t="shared" si="1"/>
        <v>4.3999999999999997E-2</v>
      </c>
      <c r="L6" s="22">
        <f>R3</f>
        <v>7.6646999999999998</v>
      </c>
      <c r="M6" s="32"/>
      <c r="N6" s="33"/>
      <c r="O6" s="32"/>
      <c r="P6" s="34"/>
      <c r="Q6" s="32"/>
      <c r="R6" s="32"/>
      <c r="S6" s="33"/>
      <c r="T6" s="32"/>
      <c r="U6" s="32"/>
      <c r="V6" s="35"/>
      <c r="W6" s="36"/>
      <c r="X6" s="36"/>
      <c r="Y6" s="36"/>
      <c r="Z6" s="36"/>
      <c r="AA6" s="31"/>
      <c r="AB6" s="31"/>
      <c r="AC6" s="37"/>
      <c r="AD6" s="37"/>
      <c r="AE6" s="31"/>
      <c r="AF6" s="31"/>
      <c r="AG6" s="38"/>
      <c r="AH6" s="31"/>
      <c r="AI6" s="31"/>
      <c r="AJ6" s="38"/>
      <c r="AK6" s="31"/>
      <c r="AL6" s="31"/>
      <c r="AM6" s="38"/>
      <c r="AN6" s="31"/>
      <c r="AO6" s="31"/>
      <c r="AP6" s="31"/>
      <c r="AQ6" s="39"/>
      <c r="AR6" s="31"/>
      <c r="AS6" s="31"/>
      <c r="AT6" s="31"/>
      <c r="AU6" s="31"/>
      <c r="AV6" s="31"/>
    </row>
    <row r="7" spans="1:48" s="11" customFormat="1" x14ac:dyDescent="0.35">
      <c r="P7" s="12"/>
      <c r="Q7" s="12"/>
      <c r="T7" s="12"/>
      <c r="U7" s="12"/>
      <c r="X7" s="12"/>
      <c r="Y7" s="12"/>
    </row>
    <row r="8" spans="1:48" s="51" customFormat="1" x14ac:dyDescent="0.35">
      <c r="A8" s="50" t="s">
        <v>133</v>
      </c>
      <c r="B8" s="51" t="s">
        <v>19</v>
      </c>
      <c r="C8" s="2" t="s">
        <v>20</v>
      </c>
      <c r="D8" s="51" t="s">
        <v>0</v>
      </c>
      <c r="E8" s="2" t="s">
        <v>8</v>
      </c>
      <c r="F8" s="51" t="s">
        <v>134</v>
      </c>
      <c r="G8" s="51" t="s">
        <v>135</v>
      </c>
      <c r="H8" s="51" t="s">
        <v>136</v>
      </c>
      <c r="I8" s="51" t="s">
        <v>137</v>
      </c>
    </row>
    <row r="9" spans="1:48" s="52" customFormat="1" ht="10.5" x14ac:dyDescent="0.25">
      <c r="A9" s="52">
        <v>2015.5</v>
      </c>
      <c r="B9" s="53">
        <f>O5</f>
        <v>77.923346924230117</v>
      </c>
      <c r="C9" s="53">
        <f>P5</f>
        <v>2.3126446641924043E-4</v>
      </c>
      <c r="D9" s="3">
        <f>M5</f>
        <v>104.90753095546009</v>
      </c>
      <c r="E9" s="3">
        <f>N5</f>
        <v>4.2344103485609418E-4</v>
      </c>
      <c r="F9" s="53">
        <f>R2</f>
        <v>3.0531000000000001</v>
      </c>
      <c r="G9" s="53">
        <f>S2</f>
        <v>4.1999999999999997E-3</v>
      </c>
      <c r="H9" s="53">
        <f>R3</f>
        <v>7.6646999999999998</v>
      </c>
      <c r="I9" s="53">
        <f>S3</f>
        <v>2.0000000000000001E-4</v>
      </c>
    </row>
  </sheetData>
  <sortState ref="A2:CK477">
    <sortCondition ref="K2:K477"/>
  </sortState>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topLeftCell="A61" workbookViewId="0">
      <selection activeCell="C67" sqref="C67"/>
    </sheetView>
  </sheetViews>
  <sheetFormatPr baseColWidth="10" defaultRowHeight="14.5" x14ac:dyDescent="0.35"/>
  <cols>
    <col min="1" max="1" width="12.54296875" customWidth="1"/>
    <col min="2" max="2" width="5" customWidth="1"/>
    <col min="3" max="3" width="113.26953125" style="45" customWidth="1"/>
  </cols>
  <sheetData>
    <row r="1" spans="1:3" x14ac:dyDescent="0.35">
      <c r="A1" t="s">
        <v>89</v>
      </c>
    </row>
    <row r="3" spans="1:3" x14ac:dyDescent="0.35">
      <c r="A3" s="40" t="s">
        <v>75</v>
      </c>
      <c r="B3" s="10" t="s">
        <v>90</v>
      </c>
      <c r="C3" s="46" t="s">
        <v>75</v>
      </c>
    </row>
    <row r="4" spans="1:3" x14ac:dyDescent="0.35">
      <c r="A4" s="40" t="s">
        <v>74</v>
      </c>
      <c r="B4" s="10" t="s">
        <v>90</v>
      </c>
      <c r="C4" s="46" t="s">
        <v>74</v>
      </c>
    </row>
    <row r="5" spans="1:3" x14ac:dyDescent="0.35">
      <c r="A5" s="40" t="s">
        <v>19</v>
      </c>
      <c r="B5" s="10" t="s">
        <v>90</v>
      </c>
      <c r="C5" s="46" t="s">
        <v>19</v>
      </c>
    </row>
    <row r="6" spans="1:3" x14ac:dyDescent="0.35">
      <c r="A6" s="40" t="s">
        <v>20</v>
      </c>
      <c r="B6" s="10" t="s">
        <v>90</v>
      </c>
      <c r="C6" s="46" t="s">
        <v>20</v>
      </c>
    </row>
    <row r="7" spans="1:3" x14ac:dyDescent="0.35">
      <c r="A7" s="40" t="s">
        <v>0</v>
      </c>
      <c r="B7" s="10" t="s">
        <v>90</v>
      </c>
      <c r="C7" s="46" t="s">
        <v>0</v>
      </c>
    </row>
    <row r="8" spans="1:3" x14ac:dyDescent="0.35">
      <c r="A8" s="40" t="s">
        <v>8</v>
      </c>
      <c r="B8" s="10" t="s">
        <v>90</v>
      </c>
      <c r="C8" s="46" t="s">
        <v>8</v>
      </c>
    </row>
    <row r="9" spans="1:3" x14ac:dyDescent="0.35">
      <c r="A9" s="40" t="s">
        <v>40</v>
      </c>
      <c r="B9" s="10" t="s">
        <v>90</v>
      </c>
      <c r="C9" s="46" t="s">
        <v>40</v>
      </c>
    </row>
    <row r="10" spans="1:3" x14ac:dyDescent="0.35">
      <c r="A10" s="40" t="s">
        <v>41</v>
      </c>
      <c r="B10" s="10" t="s">
        <v>90</v>
      </c>
      <c r="C10" s="46" t="s">
        <v>41</v>
      </c>
    </row>
    <row r="11" spans="1:3" x14ac:dyDescent="0.35">
      <c r="A11" s="40" t="s">
        <v>42</v>
      </c>
      <c r="B11" s="10" t="s">
        <v>90</v>
      </c>
      <c r="C11" s="46" t="s">
        <v>42</v>
      </c>
    </row>
    <row r="12" spans="1:3" x14ac:dyDescent="0.35">
      <c r="A12" s="40" t="s">
        <v>43</v>
      </c>
      <c r="B12" s="10" t="s">
        <v>90</v>
      </c>
      <c r="C12" s="46" t="s">
        <v>43</v>
      </c>
    </row>
    <row r="13" spans="1:3" x14ac:dyDescent="0.35">
      <c r="A13" s="40" t="s">
        <v>44</v>
      </c>
      <c r="B13" s="10" t="s">
        <v>90</v>
      </c>
      <c r="C13" s="46" t="s">
        <v>44</v>
      </c>
    </row>
    <row r="14" spans="1:3" x14ac:dyDescent="0.35">
      <c r="A14" s="40" t="s">
        <v>45</v>
      </c>
      <c r="B14" s="10" t="s">
        <v>90</v>
      </c>
      <c r="C14" s="46" t="s">
        <v>45</v>
      </c>
    </row>
    <row r="15" spans="1:3" x14ac:dyDescent="0.35">
      <c r="A15" s="40" t="s">
        <v>46</v>
      </c>
      <c r="B15" s="10" t="s">
        <v>90</v>
      </c>
      <c r="C15" s="46" t="s">
        <v>46</v>
      </c>
    </row>
    <row r="16" spans="1:3" x14ac:dyDescent="0.35">
      <c r="A16" s="40" t="s">
        <v>47</v>
      </c>
      <c r="B16" s="10" t="s">
        <v>90</v>
      </c>
      <c r="C16" s="46" t="s">
        <v>47</v>
      </c>
    </row>
    <row r="17" spans="1:3" x14ac:dyDescent="0.35">
      <c r="A17" s="40" t="s">
        <v>31</v>
      </c>
      <c r="B17" s="10" t="s">
        <v>90</v>
      </c>
      <c r="C17" s="46" t="s">
        <v>31</v>
      </c>
    </row>
    <row r="18" spans="1:3" x14ac:dyDescent="0.35">
      <c r="A18" s="40" t="s">
        <v>32</v>
      </c>
      <c r="B18" s="10" t="s">
        <v>90</v>
      </c>
      <c r="C18" s="46" t="s">
        <v>32</v>
      </c>
    </row>
    <row r="19" spans="1:3" x14ac:dyDescent="0.35">
      <c r="A19" s="40" t="s">
        <v>48</v>
      </c>
      <c r="B19" s="10" t="s">
        <v>90</v>
      </c>
      <c r="C19" s="46" t="s">
        <v>48</v>
      </c>
    </row>
    <row r="20" spans="1:3" x14ac:dyDescent="0.35">
      <c r="A20" s="40" t="s">
        <v>49</v>
      </c>
      <c r="B20" s="10" t="s">
        <v>90</v>
      </c>
      <c r="C20" s="46" t="s">
        <v>49</v>
      </c>
    </row>
    <row r="21" spans="1:3" x14ac:dyDescent="0.35">
      <c r="A21" s="40" t="s">
        <v>50</v>
      </c>
      <c r="B21" s="10" t="s">
        <v>90</v>
      </c>
      <c r="C21" s="46" t="s">
        <v>50</v>
      </c>
    </row>
    <row r="22" spans="1:3" x14ac:dyDescent="0.35">
      <c r="A22" s="40" t="s">
        <v>51</v>
      </c>
      <c r="B22" s="10" t="s">
        <v>90</v>
      </c>
      <c r="C22" s="46" t="s">
        <v>51</v>
      </c>
    </row>
    <row r="23" spans="1:3" x14ac:dyDescent="0.35">
      <c r="A23" s="41" t="s">
        <v>76</v>
      </c>
      <c r="B23" s="10" t="s">
        <v>90</v>
      </c>
      <c r="C23" s="46" t="s">
        <v>91</v>
      </c>
    </row>
    <row r="24" spans="1:3" x14ac:dyDescent="0.35">
      <c r="A24" s="42" t="s">
        <v>77</v>
      </c>
      <c r="B24" s="10" t="s">
        <v>90</v>
      </c>
      <c r="C24" s="46" t="s">
        <v>92</v>
      </c>
    </row>
    <row r="25" spans="1:3" x14ac:dyDescent="0.35">
      <c r="A25" s="41" t="s">
        <v>78</v>
      </c>
      <c r="B25" s="10" t="s">
        <v>90</v>
      </c>
      <c r="C25" s="46" t="s">
        <v>93</v>
      </c>
    </row>
    <row r="26" spans="1:3" x14ac:dyDescent="0.35">
      <c r="A26" s="40" t="s">
        <v>123</v>
      </c>
      <c r="B26" s="10" t="s">
        <v>90</v>
      </c>
      <c r="C26" s="46" t="s">
        <v>94</v>
      </c>
    </row>
    <row r="27" spans="1:3" x14ac:dyDescent="0.35">
      <c r="A27" s="40" t="s">
        <v>72</v>
      </c>
      <c r="B27" s="10" t="s">
        <v>90</v>
      </c>
      <c r="C27" s="46" t="s">
        <v>95</v>
      </c>
    </row>
    <row r="28" spans="1:3" x14ac:dyDescent="0.35">
      <c r="A28" s="40" t="s">
        <v>73</v>
      </c>
      <c r="B28" s="10" t="s">
        <v>90</v>
      </c>
      <c r="C28" s="46" t="s">
        <v>96</v>
      </c>
    </row>
    <row r="29" spans="1:3" x14ac:dyDescent="0.35">
      <c r="A29" s="41" t="s">
        <v>9</v>
      </c>
      <c r="B29" s="10" t="s">
        <v>90</v>
      </c>
      <c r="C29" s="46" t="s">
        <v>97</v>
      </c>
    </row>
    <row r="30" spans="1:3" x14ac:dyDescent="0.35">
      <c r="A30" s="41" t="s">
        <v>10</v>
      </c>
      <c r="B30" s="10" t="s">
        <v>90</v>
      </c>
      <c r="C30" s="46" t="s">
        <v>98</v>
      </c>
    </row>
    <row r="31" spans="1:3" x14ac:dyDescent="0.35">
      <c r="A31" s="40" t="s">
        <v>52</v>
      </c>
      <c r="B31" s="10" t="s">
        <v>90</v>
      </c>
      <c r="C31" s="46" t="s">
        <v>52</v>
      </c>
    </row>
    <row r="32" spans="1:3" x14ac:dyDescent="0.35">
      <c r="A32" s="40" t="s">
        <v>53</v>
      </c>
      <c r="B32" s="10" t="s">
        <v>90</v>
      </c>
      <c r="C32" s="46" t="s">
        <v>53</v>
      </c>
    </row>
    <row r="33" spans="1:3" x14ac:dyDescent="0.35">
      <c r="A33" s="43" t="s">
        <v>54</v>
      </c>
      <c r="B33" s="10" t="s">
        <v>90</v>
      </c>
      <c r="C33" s="47" t="s">
        <v>54</v>
      </c>
    </row>
    <row r="34" spans="1:3" x14ac:dyDescent="0.35">
      <c r="A34" s="43" t="s">
        <v>55</v>
      </c>
      <c r="B34" s="10" t="s">
        <v>90</v>
      </c>
      <c r="C34" s="47" t="s">
        <v>55</v>
      </c>
    </row>
    <row r="35" spans="1:3" x14ac:dyDescent="0.35">
      <c r="A35" s="43" t="s">
        <v>56</v>
      </c>
      <c r="B35" s="10" t="s">
        <v>90</v>
      </c>
      <c r="C35" s="47" t="s">
        <v>56</v>
      </c>
    </row>
    <row r="36" spans="1:3" x14ac:dyDescent="0.35">
      <c r="A36" s="43" t="s">
        <v>57</v>
      </c>
      <c r="B36" s="10" t="s">
        <v>90</v>
      </c>
      <c r="C36" s="47" t="s">
        <v>57</v>
      </c>
    </row>
    <row r="37" spans="1:3" x14ac:dyDescent="0.35">
      <c r="A37" s="43" t="s">
        <v>79</v>
      </c>
      <c r="B37" s="10" t="s">
        <v>90</v>
      </c>
      <c r="C37" s="47" t="s">
        <v>79</v>
      </c>
    </row>
    <row r="38" spans="1:3" x14ac:dyDescent="0.35">
      <c r="A38" s="43" t="s">
        <v>80</v>
      </c>
      <c r="B38" s="10" t="s">
        <v>90</v>
      </c>
      <c r="C38" s="47" t="s">
        <v>80</v>
      </c>
    </row>
    <row r="39" spans="1:3" x14ac:dyDescent="0.35">
      <c r="A39" s="43" t="s">
        <v>81</v>
      </c>
      <c r="B39" s="10" t="s">
        <v>90</v>
      </c>
      <c r="C39" s="47" t="s">
        <v>81</v>
      </c>
    </row>
    <row r="40" spans="1:3" x14ac:dyDescent="0.35">
      <c r="A40" s="44" t="s">
        <v>82</v>
      </c>
      <c r="B40" s="10" t="s">
        <v>90</v>
      </c>
      <c r="C40" s="48" t="s">
        <v>82</v>
      </c>
    </row>
    <row r="41" spans="1:3" x14ac:dyDescent="0.35">
      <c r="A41" s="44" t="s">
        <v>83</v>
      </c>
      <c r="B41" s="10" t="s">
        <v>90</v>
      </c>
      <c r="C41" s="48" t="s">
        <v>83</v>
      </c>
    </row>
    <row r="42" spans="1:3" x14ac:dyDescent="0.35">
      <c r="A42" s="44" t="s">
        <v>84</v>
      </c>
      <c r="B42" s="10" t="s">
        <v>90</v>
      </c>
      <c r="C42" s="48" t="s">
        <v>84</v>
      </c>
    </row>
    <row r="43" spans="1:3" x14ac:dyDescent="0.35">
      <c r="A43" s="41" t="s">
        <v>58</v>
      </c>
      <c r="B43" s="10" t="s">
        <v>90</v>
      </c>
      <c r="C43" s="48" t="s">
        <v>99</v>
      </c>
    </row>
    <row r="44" spans="1:3" x14ac:dyDescent="0.35">
      <c r="A44" s="41" t="s">
        <v>59</v>
      </c>
      <c r="B44" s="10" t="s">
        <v>90</v>
      </c>
      <c r="C44" s="48" t="s">
        <v>100</v>
      </c>
    </row>
    <row r="45" spans="1:3" x14ac:dyDescent="0.35">
      <c r="A45" s="43" t="s">
        <v>60</v>
      </c>
      <c r="B45" s="10" t="s">
        <v>90</v>
      </c>
      <c r="C45" s="48" t="s">
        <v>101</v>
      </c>
    </row>
    <row r="46" spans="1:3" x14ac:dyDescent="0.35">
      <c r="A46" s="43" t="s">
        <v>61</v>
      </c>
      <c r="B46" s="10" t="s">
        <v>90</v>
      </c>
      <c r="C46" s="48" t="s">
        <v>102</v>
      </c>
    </row>
    <row r="47" spans="1:3" x14ac:dyDescent="0.35">
      <c r="A47" s="43" t="s">
        <v>62</v>
      </c>
      <c r="B47" s="10" t="s">
        <v>90</v>
      </c>
      <c r="C47" s="48" t="s">
        <v>103</v>
      </c>
    </row>
    <row r="48" spans="1:3" x14ac:dyDescent="0.35">
      <c r="A48" s="43" t="s">
        <v>63</v>
      </c>
      <c r="B48" s="10" t="s">
        <v>90</v>
      </c>
      <c r="C48" s="48" t="s">
        <v>104</v>
      </c>
    </row>
    <row r="49" spans="1:3" x14ac:dyDescent="0.35">
      <c r="A49" s="43" t="s">
        <v>64</v>
      </c>
      <c r="B49" s="10" t="s">
        <v>90</v>
      </c>
      <c r="C49" s="48" t="s">
        <v>105</v>
      </c>
    </row>
    <row r="50" spans="1:3" x14ac:dyDescent="0.35">
      <c r="A50" s="43" t="s">
        <v>65</v>
      </c>
      <c r="B50" s="10" t="s">
        <v>90</v>
      </c>
      <c r="C50" s="48" t="s">
        <v>106</v>
      </c>
    </row>
    <row r="51" spans="1:3" x14ac:dyDescent="0.35">
      <c r="A51" s="40" t="s">
        <v>66</v>
      </c>
      <c r="B51" s="10" t="s">
        <v>90</v>
      </c>
      <c r="C51" s="46" t="s">
        <v>66</v>
      </c>
    </row>
    <row r="52" spans="1:3" x14ac:dyDescent="0.35">
      <c r="A52" s="40" t="s">
        <v>67</v>
      </c>
      <c r="B52" s="10" t="s">
        <v>90</v>
      </c>
      <c r="C52" s="46" t="s">
        <v>67</v>
      </c>
    </row>
    <row r="53" spans="1:3" x14ac:dyDescent="0.35">
      <c r="A53" s="40" t="s">
        <v>68</v>
      </c>
      <c r="B53" s="10" t="s">
        <v>90</v>
      </c>
      <c r="C53" s="48" t="s">
        <v>107</v>
      </c>
    </row>
    <row r="54" spans="1:3" x14ac:dyDescent="0.35">
      <c r="A54" s="40" t="s">
        <v>69</v>
      </c>
      <c r="B54" s="10" t="s">
        <v>90</v>
      </c>
      <c r="C54" s="48" t="s">
        <v>108</v>
      </c>
    </row>
    <row r="55" spans="1:3" x14ac:dyDescent="0.35">
      <c r="A55" s="40" t="s">
        <v>85</v>
      </c>
      <c r="B55" s="10" t="s">
        <v>90</v>
      </c>
      <c r="C55" s="46" t="s">
        <v>109</v>
      </c>
    </row>
    <row r="56" spans="1:3" x14ac:dyDescent="0.35">
      <c r="A56" s="40" t="s">
        <v>86</v>
      </c>
      <c r="B56" s="10" t="s">
        <v>90</v>
      </c>
      <c r="C56" s="46" t="s">
        <v>110</v>
      </c>
    </row>
    <row r="57" spans="1:3" x14ac:dyDescent="0.35">
      <c r="A57" s="40" t="s">
        <v>70</v>
      </c>
      <c r="B57" s="10" t="s">
        <v>90</v>
      </c>
      <c r="C57" s="46" t="s">
        <v>111</v>
      </c>
    </row>
    <row r="58" spans="1:3" x14ac:dyDescent="0.35">
      <c r="A58" s="40" t="s">
        <v>71</v>
      </c>
      <c r="B58" s="10" t="s">
        <v>90</v>
      </c>
      <c r="C58" s="46" t="s">
        <v>112</v>
      </c>
    </row>
    <row r="59" spans="1:3" x14ac:dyDescent="0.35">
      <c r="A59" s="40" t="s">
        <v>87</v>
      </c>
      <c r="B59" s="10" t="s">
        <v>90</v>
      </c>
      <c r="C59" s="46" t="s">
        <v>113</v>
      </c>
    </row>
    <row r="60" spans="1:3" x14ac:dyDescent="0.35">
      <c r="A60" s="40" t="s">
        <v>88</v>
      </c>
      <c r="B60" s="10" t="s">
        <v>90</v>
      </c>
      <c r="C60" s="46" t="s">
        <v>114</v>
      </c>
    </row>
    <row r="61" spans="1:3" x14ac:dyDescent="0.35">
      <c r="A61" s="40" t="s">
        <v>117</v>
      </c>
      <c r="B61" s="10" t="s">
        <v>90</v>
      </c>
      <c r="C61" s="46" t="s">
        <v>121</v>
      </c>
    </row>
    <row r="62" spans="1:3" x14ac:dyDescent="0.35">
      <c r="A62" s="40" t="s">
        <v>118</v>
      </c>
      <c r="B62" s="10" t="s">
        <v>90</v>
      </c>
      <c r="C62" s="46" t="s">
        <v>122</v>
      </c>
    </row>
    <row r="63" spans="1:3" x14ac:dyDescent="0.35">
      <c r="A63" s="40" t="s">
        <v>119</v>
      </c>
      <c r="B63" s="10" t="s">
        <v>90</v>
      </c>
      <c r="C63" s="46" t="s">
        <v>124</v>
      </c>
    </row>
    <row r="66" spans="3:3" x14ac:dyDescent="0.35">
      <c r="C66" s="49" t="s">
        <v>128</v>
      </c>
    </row>
    <row r="67" spans="3:3" x14ac:dyDescent="0.35">
      <c r="C67" s="49"/>
    </row>
    <row r="68" spans="3:3" ht="53.5" x14ac:dyDescent="0.35">
      <c r="C68" s="49" t="s">
        <v>116</v>
      </c>
    </row>
    <row r="69" spans="3:3" ht="22" x14ac:dyDescent="0.35">
      <c r="C69" s="49" t="s">
        <v>127</v>
      </c>
    </row>
    <row r="70" spans="3:3" ht="32.5" x14ac:dyDescent="0.35">
      <c r="C70" s="49" t="s">
        <v>125</v>
      </c>
    </row>
    <row r="71" spans="3:3" x14ac:dyDescent="0.35">
      <c r="C71" s="49" t="s">
        <v>115</v>
      </c>
    </row>
    <row r="72" spans="3:3" ht="43" x14ac:dyDescent="0.35">
      <c r="C72" s="49" t="s">
        <v>126</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Lik D&lt;TR1+TR2</vt:lpstr>
      <vt:lpstr>Content Description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Wilfried Knapp</dc:creator>
  <cp:lastModifiedBy>Wilfried Knapp</cp:lastModifiedBy>
  <cp:lastPrinted>2019-02-13T09:44:51Z</cp:lastPrinted>
  <dcterms:created xsi:type="dcterms:W3CDTF">2018-12-04T19:42:58Z</dcterms:created>
  <dcterms:modified xsi:type="dcterms:W3CDTF">2021-11-28T15:42:54Z</dcterms:modified>
</cp:coreProperties>
</file>