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ilfr\Dropbox\Sternenhimmel\HTML new\Spreadsheets-Dateien\"/>
    </mc:Choice>
  </mc:AlternateContent>
  <workbookProtection workbookAlgorithmName="SHA-512" workbookHashValue="giOxVOjKErxLuoLd79xr13TRcfF99KIqI/ln5ztlO+jie4dAuafgDts+SrhMNqBE1iLfY7J3BbR8GepOY0foXQ==" workbookSaltValue="HfBI+o07gq/0keAy/q7KXA==" workbookSpinCount="100000" lockStructure="1"/>
  <bookViews>
    <workbookView xWindow="290" yWindow="200" windowWidth="14630" windowHeight="5430" activeTab="1"/>
  </bookViews>
  <sheets>
    <sheet name="Introduction" sheetId="1" r:id="rId1"/>
    <sheet name="RoT V3.4 Beta" sheetId="2" r:id="rId2"/>
  </sheets>
  <calcPr calcId="152511"/>
</workbook>
</file>

<file path=xl/calcChain.xml><?xml version="1.0" encoding="utf-8"?>
<calcChain xmlns="http://schemas.openxmlformats.org/spreadsheetml/2006/main">
  <c r="G12" i="2" l="1"/>
  <c r="Q12" i="2" s="1"/>
  <c r="T12" i="2"/>
  <c r="U12" i="2" s="1"/>
  <c r="V12" i="2" s="1"/>
  <c r="F12" i="2"/>
  <c r="S12" i="2" s="1"/>
  <c r="E12" i="2"/>
  <c r="J12" i="2" s="1"/>
  <c r="P12" i="2" l="1"/>
  <c r="O12" i="2"/>
  <c r="K12" i="2" s="1"/>
  <c r="R12" i="2"/>
  <c r="L12" i="2" s="1"/>
  <c r="M12" i="2"/>
  <c r="N12" i="2"/>
  <c r="I12" i="2" l="1"/>
  <c r="H12" i="2" s="1"/>
  <c r="B9" i="2" s="1"/>
  <c r="B10" i="2" s="1"/>
</calcChain>
</file>

<file path=xl/sharedStrings.xml><?xml version="1.0" encoding="utf-8"?>
<sst xmlns="http://schemas.openxmlformats.org/spreadsheetml/2006/main" count="40" uniqueCount="40">
  <si>
    <t>Name</t>
  </si>
  <si>
    <t>RA</t>
  </si>
  <si>
    <t>Dec</t>
  </si>
  <si>
    <t>Sep</t>
  </si>
  <si>
    <t>M1</t>
  </si>
  <si>
    <t>M2</t>
  </si>
  <si>
    <t>WDS ID</t>
  </si>
  <si>
    <t>dNEML</t>
  </si>
  <si>
    <t>TML_M2</t>
  </si>
  <si>
    <t>dM'</t>
  </si>
  <si>
    <t>M1'</t>
  </si>
  <si>
    <t>M2'</t>
  </si>
  <si>
    <t>M1''</t>
  </si>
  <si>
    <t>TML_M2 Ap</t>
  </si>
  <si>
    <t>pA'</t>
  </si>
  <si>
    <t>pA</t>
  </si>
  <si>
    <t>Dawes
pA1</t>
  </si>
  <si>
    <t>f(dM)
pA2</t>
  </si>
  <si>
    <t>f(m1)
pA3</t>
  </si>
  <si>
    <t>f(m2)
pA4</t>
  </si>
  <si>
    <t>f(NELM)
pA5</t>
  </si>
  <si>
    <t>M1'''</t>
  </si>
  <si>
    <t>WDS05297-0106</t>
  </si>
  <si>
    <t>05:29:44.0</t>
  </si>
  <si>
    <t>-01:05:32</t>
  </si>
  <si>
    <t>STF725</t>
  </si>
  <si>
    <t>Used scope aperture mm</t>
  </si>
  <si>
    <t>Magnitude Primary</t>
  </si>
  <si>
    <t>Magnitude Secondary</t>
  </si>
  <si>
    <t>WRAKs Rule of Thumb Model for estimating the required aperture for resolving unequal and faint doubles for small telescopes V3.4 Beta 2014-08-30</t>
  </si>
  <si>
    <t>Central Obstruction Diameter 0.00-0.40</t>
  </si>
  <si>
    <t>Naked Eye Magnitude Limit 1-6.5mag</t>
  </si>
  <si>
    <t>Extinction 0-1mag</t>
  </si>
  <si>
    <t>Separation in arcsec</t>
  </si>
  <si>
    <r>
      <rPr>
        <b/>
        <sz val="11"/>
        <rFont val="Calibri"/>
        <family val="2"/>
      </rPr>
      <t>WRAKs Rule of Thumb Model for estimating the required aperture for resolving unequal and faint doubles for small telescopes V3.4 Beta 2014-08-30</t>
    </r>
    <r>
      <rPr>
        <sz val="11"/>
        <rFont val="Calibri"/>
        <family val="2"/>
      </rPr>
      <t xml:space="preserve">
pD_mm = proposed aperture diameter in mm = pA1+pA2+pA3+pA4+pA5 with a resolution probability of 50% (telescope Strehl 0.95 or better, reasonable good seeing, reasonable good transparency, average personal acuity assumed) and a standard deviation of 14%. Resolution means not necessarily a split but at least a clear evidence for existence and position of a secondary (for example in form of a rod)
The Fuzzy Logic Difficulty Index (http://www.carbonar.es/s33/Fuzzy-splitting/fuzzy-splitting.html) might be of use to determine seeing requirements for a 50% resolution chance: 95 or less requires Pickering ~5, 96 ~6, 97 ~7, 98 ~8, 99 ~9 and 100 ~10
pA1 = Dawes criterion modified depending on size of central obstruction = 116/1,2213*(0,0950502775050452+(1,12627632206642)/((1+(CO/0,302756091410027)^2,26536793426585)^0,152776210790626))/Sep with Sep = separation in arcseconds and CO = Central Obstruction between zero and 0.4
pA2 = f(dM) = function of delta magnitudes including CO = 5,91232283796472*dM'*(M2-M1)/Sep^0,600317738509086*(1+CO)^0,808139120750434
with dM' = switch for delta-M &lt; 1, M1 = magnitude primary and M2 = magnitude secondary
pA3 = f(M1) = function of M1 = 1,04237828050238*M1'*(M1+2,34973310685883)/(M1''*Sep^-0,304107132838227+(1-M1'')*(M1''')^-0,304107132838227)
with M1' = switch for M1 ≤ 6, M1'' = switch for sep ≤ 14-M1 and M1''' = switch for M1≥12.5
pA4 = f(M2) = function of M2 = 13,6914255489806*M2'*(M2-9) with M2' = switch for M2 ≤ 9
pA5 = f(NEML) = function of Naked Eye Magnitude Limit for a given location including extinction means in the field of view (and not zenith as usually used) = 2,4817076129942*m2'*(6.5-NEML).
pA' = proposed aperture after check against the for light pollution and extinction adapted telescope magnitude limit. This is done for all doubles  in an approximation process but is usually only relevant  for doubles with companions fainter than +10mag. In the first step dNEML is calculated as fictive brightness loss of the secondary depending on NEML and M2 as  0,0693559616693627+4,32571272410334*LOG(((6,5/NEML)^2);2,512)^1,81526832546765*(M2/18)^8,00090419543305. Next step is the calculation of the required minimum TML_M2 as M2+dNEML+Extinction and the calculation of the with the given size of CO corresponding aperture with SQRT(10^((TML_M2-2,7)/5)^2/(1-CO^2)).  This is then the final value for the proposed aperture pA' if larger than pA of the first step.
Required input (green fields): Global input central obstruction for specific scope, naked eye magnitude limit for specific location and average extinction for given altitude. Per double star sep, m1, m2. WDS ID, Name, RA, Dec for convinience only (yellow marked columns below)
Error conditions (not checked): separation&gt;0,  M2≥M1, 0≤CO&lt;1, 6.5&lt;NEML&lt;1, magnitudes in visual band
Limitations (not checked): 0&lt;M1&lt;12.5, M2&lt;14. 0≤CO&lt;0.4
Planned enhancements: Enlarge the data set of limit observations for better statistical significance especially for larger apertures, smoother transition of the different components of the model when crossing the defined threshold, better implementation  of CO influence and better implementation of TML-check
Known limitations: Several specific conditions like multiples with close faint companions in between brighter ones or very bright primaries with glare, humidity in the air giving halos around brighter primaries or doubles against bright nebulas, secondaries in the red color spectrum etc. are not covered by the algorithm but only by the probability concept - means bad luck</t>
    </r>
  </si>
  <si>
    <t>Resolution probability in % with used scope *)</t>
  </si>
  <si>
    <t>Proposed Aperture mm for 50% resolution chance *)</t>
  </si>
  <si>
    <t xml:space="preserve"> *) Please check the Fuzzy Logic Difficulty Index for required seeing:</t>
  </si>
  <si>
    <t>The larger the proposed aperture the higher the seeing requirements as perfect seeing for 120mm means maybe only moderate fair seeing for 180mm</t>
  </si>
  <si>
    <t>100 means perfect seeing required, 95 or less means fair seeing required, in between means in between - always in relation to the proposed aperture: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</si>
</sst>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_-* #,##0.0_-;\-* #,##0.0_-;_-* &quot;-&quot;??_-;_-@_-"/>
  </numFmts>
  <fonts count="14" x14ac:knownFonts="1">
    <font>
      <sz val="11"/>
      <color theme="1"/>
      <name val="Calibri"/>
      <family val="2"/>
      <scheme val="minor"/>
    </font>
    <font>
      <sz val="11"/>
      <name val="Calibri"/>
      <family val="2"/>
    </font>
    <font>
      <b/>
      <sz val="11"/>
      <name val="Calibri"/>
      <family val="2"/>
    </font>
    <font>
      <sz val="11"/>
      <color theme="1"/>
      <name val="Calibri"/>
      <family val="2"/>
      <scheme val="minor"/>
    </font>
    <font>
      <sz val="11"/>
      <color rgb="FFFF0000"/>
      <name val="Calibri"/>
      <family val="2"/>
      <scheme val="minor"/>
    </font>
    <font>
      <sz val="11"/>
      <name val="Calibri"/>
      <family val="2"/>
      <scheme val="minor"/>
    </font>
    <font>
      <b/>
      <sz val="14"/>
      <color rgb="FFFF0000"/>
      <name val="Calibri"/>
      <family val="2"/>
      <scheme val="minor"/>
    </font>
    <font>
      <b/>
      <sz val="12"/>
      <color rgb="FFFF0000"/>
      <name val="Calibri"/>
      <family val="2"/>
      <scheme val="minor"/>
    </font>
    <font>
      <b/>
      <sz val="12"/>
      <name val="Calibri"/>
      <family val="2"/>
      <scheme val="minor"/>
    </font>
    <font>
      <sz val="12"/>
      <name val="Calibri"/>
      <family val="2"/>
      <scheme val="minor"/>
    </font>
    <font>
      <b/>
      <sz val="11"/>
      <color rgb="FFFF0000"/>
      <name val="Calibri"/>
      <family val="2"/>
      <scheme val="minor"/>
    </font>
    <font>
      <b/>
      <sz val="16"/>
      <name val="Calibri"/>
      <family val="2"/>
      <scheme val="minor"/>
    </font>
    <font>
      <b/>
      <sz val="16"/>
      <color rgb="FFFF0000"/>
      <name val="Calibri"/>
      <family val="2"/>
      <scheme val="minor"/>
    </font>
    <font>
      <b/>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2">
    <border>
      <left/>
      <right/>
      <top/>
      <bottom/>
      <diagonal/>
    </border>
    <border>
      <left/>
      <right/>
      <top/>
      <bottom style="medium">
        <color indexed="64"/>
      </bottom>
      <diagonal/>
    </border>
  </borders>
  <cellStyleXfs count="2">
    <xf numFmtId="0" fontId="0" fillId="0" borderId="0"/>
    <xf numFmtId="43" fontId="3" fillId="0" borderId="0" applyFont="0" applyFill="0" applyBorder="0" applyAlignment="0" applyProtection="0"/>
  </cellStyleXfs>
  <cellXfs count="51">
    <xf numFmtId="0" fontId="0" fillId="0" borderId="0" xfId="0"/>
    <xf numFmtId="0" fontId="5" fillId="0" borderId="0" xfId="0" applyFont="1"/>
    <xf numFmtId="0" fontId="5" fillId="2" borderId="0" xfId="0" applyFont="1" applyFill="1"/>
    <xf numFmtId="0" fontId="5" fillId="0" borderId="0" xfId="0" applyFont="1" applyAlignment="1">
      <alignment wrapText="1"/>
    </xf>
    <xf numFmtId="0" fontId="5" fillId="0" borderId="1" xfId="0" applyFont="1" applyBorder="1"/>
    <xf numFmtId="164" fontId="5" fillId="0" borderId="0" xfId="1" applyNumberFormat="1" applyFont="1"/>
    <xf numFmtId="43" fontId="5" fillId="0" borderId="0" xfId="1" applyFont="1"/>
    <xf numFmtId="43" fontId="5" fillId="0" borderId="0" xfId="1" applyNumberFormat="1" applyFont="1"/>
    <xf numFmtId="0" fontId="5" fillId="2" borderId="0" xfId="0" applyFont="1" applyFill="1" applyAlignment="1">
      <alignment horizontal="center"/>
    </xf>
    <xf numFmtId="43" fontId="5" fillId="0" borderId="0" xfId="1" applyFont="1" applyAlignment="1">
      <alignment horizontal="center"/>
    </xf>
    <xf numFmtId="0" fontId="5" fillId="0" borderId="0" xfId="0" applyFont="1" applyBorder="1" applyAlignment="1">
      <alignment horizontal="left"/>
    </xf>
    <xf numFmtId="0" fontId="6" fillId="0" borderId="0" xfId="0" applyFont="1" applyBorder="1" applyAlignment="1">
      <alignment horizontal="left" wrapText="1"/>
    </xf>
    <xf numFmtId="43" fontId="5" fillId="0" borderId="0" xfId="1" applyFont="1" applyBorder="1" applyAlignment="1">
      <alignment horizontal="left"/>
    </xf>
    <xf numFmtId="0" fontId="5" fillId="2" borderId="0" xfId="0" applyFont="1" applyFill="1" applyAlignment="1">
      <alignment horizontal="left"/>
    </xf>
    <xf numFmtId="0" fontId="7" fillId="0" borderId="0" xfId="0" applyFont="1" applyBorder="1" applyAlignment="1">
      <alignment horizontal="left"/>
    </xf>
    <xf numFmtId="43" fontId="7" fillId="0" borderId="0" xfId="1" applyNumberFormat="1" applyFont="1"/>
    <xf numFmtId="43" fontId="5" fillId="0" borderId="0" xfId="1" applyNumberFormat="1" applyFont="1" applyBorder="1" applyAlignment="1">
      <alignment horizontal="left"/>
    </xf>
    <xf numFmtId="43" fontId="5" fillId="3" borderId="0" xfId="1" applyFont="1" applyFill="1"/>
    <xf numFmtId="164" fontId="7" fillId="3" borderId="0" xfId="1" applyNumberFormat="1" applyFont="1" applyFill="1"/>
    <xf numFmtId="164" fontId="5" fillId="0" borderId="1" xfId="1" applyNumberFormat="1" applyFont="1" applyBorder="1"/>
    <xf numFmtId="164" fontId="5" fillId="0" borderId="0" xfId="1" applyNumberFormat="1" applyFont="1" applyBorder="1"/>
    <xf numFmtId="43" fontId="8" fillId="4" borderId="0" xfId="1" applyFont="1" applyFill="1"/>
    <xf numFmtId="164" fontId="5" fillId="0" borderId="0" xfId="1" applyNumberFormat="1" applyFont="1" applyBorder="1" applyAlignment="1">
      <alignment horizontal="left"/>
    </xf>
    <xf numFmtId="164" fontId="8" fillId="0" borderId="0" xfId="1" applyNumberFormat="1" applyFont="1" applyBorder="1" applyAlignment="1">
      <alignment horizontal="left"/>
    </xf>
    <xf numFmtId="164" fontId="9" fillId="0" borderId="0" xfId="1" applyNumberFormat="1" applyFont="1" applyBorder="1" applyAlignment="1">
      <alignment horizontal="left"/>
    </xf>
    <xf numFmtId="164" fontId="5" fillId="0" borderId="0" xfId="1" applyNumberFormat="1" applyFont="1" applyBorder="1" applyAlignment="1">
      <alignment horizontal="left" wrapText="1"/>
    </xf>
    <xf numFmtId="164" fontId="9" fillId="0" borderId="0" xfId="1" applyNumberFormat="1" applyFont="1" applyBorder="1" applyAlignment="1">
      <alignment horizontal="left" wrapText="1"/>
    </xf>
    <xf numFmtId="43" fontId="5" fillId="0" borderId="0" xfId="1" applyNumberFormat="1" applyFont="1" applyAlignment="1">
      <alignment horizontal="center" wrapText="1"/>
    </xf>
    <xf numFmtId="0" fontId="5" fillId="0" borderId="0" xfId="0" applyFont="1" applyAlignment="1">
      <alignment horizontal="center" wrapText="1"/>
    </xf>
    <xf numFmtId="0" fontId="5" fillId="0" borderId="0" xfId="0" applyFont="1" applyBorder="1" applyAlignment="1">
      <alignment horizontal="left" wrapText="1"/>
    </xf>
    <xf numFmtId="43" fontId="5" fillId="0" borderId="0" xfId="1" applyNumberFormat="1" applyFont="1" applyBorder="1" applyAlignment="1">
      <alignment horizontal="left" wrapText="1"/>
    </xf>
    <xf numFmtId="164" fontId="5" fillId="0" borderId="0" xfId="1" applyNumberFormat="1" applyFont="1" applyBorder="1" applyAlignment="1">
      <alignment wrapText="1"/>
    </xf>
    <xf numFmtId="0" fontId="5" fillId="0" borderId="0" xfId="0" applyFont="1" applyBorder="1" applyAlignment="1">
      <alignment horizontal="center"/>
    </xf>
    <xf numFmtId="0" fontId="0" fillId="0" borderId="0" xfId="0" applyAlignment="1">
      <alignment horizontal="center"/>
    </xf>
    <xf numFmtId="43" fontId="5" fillId="0" borderId="0" xfId="1" applyFont="1" applyBorder="1" applyAlignment="1">
      <alignment horizontal="right"/>
    </xf>
    <xf numFmtId="164" fontId="4" fillId="0" borderId="0" xfId="1" applyNumberFormat="1" applyFont="1" applyBorder="1" applyAlignment="1">
      <alignment horizontal="right"/>
    </xf>
    <xf numFmtId="164" fontId="10" fillId="0" borderId="0" xfId="1" applyNumberFormat="1" applyFont="1" applyBorder="1" applyAlignment="1">
      <alignment horizontal="right"/>
    </xf>
    <xf numFmtId="0" fontId="0" fillId="0" borderId="0" xfId="0" applyAlignment="1">
      <alignment horizontal="right"/>
    </xf>
    <xf numFmtId="49" fontId="5" fillId="0" borderId="0" xfId="0" applyNumberFormat="1" applyFont="1" applyBorder="1" applyAlignment="1">
      <alignment horizontal="center"/>
    </xf>
    <xf numFmtId="49" fontId="5" fillId="0" borderId="0" xfId="0" applyNumberFormat="1" applyFont="1" applyAlignment="1">
      <alignment horizontal="center" wrapText="1"/>
    </xf>
    <xf numFmtId="49" fontId="5" fillId="2" borderId="0" xfId="0" applyNumberFormat="1" applyFont="1" applyFill="1" applyAlignment="1">
      <alignment horizontal="center"/>
    </xf>
    <xf numFmtId="49" fontId="0" fillId="0" borderId="0" xfId="0" applyNumberFormat="1" applyAlignment="1">
      <alignment horizontal="center"/>
    </xf>
    <xf numFmtId="164" fontId="0" fillId="0" borderId="0" xfId="0" applyNumberFormat="1"/>
    <xf numFmtId="43" fontId="12" fillId="2" borderId="0" xfId="1" applyNumberFormat="1" applyFont="1" applyFill="1" applyBorder="1" applyAlignment="1">
      <alignment horizontal="center" vertical="center"/>
    </xf>
    <xf numFmtId="43" fontId="12" fillId="2" borderId="0" xfId="1" applyFont="1" applyFill="1" applyBorder="1" applyAlignment="1">
      <alignment horizontal="center" vertical="center"/>
    </xf>
    <xf numFmtId="43" fontId="11" fillId="4" borderId="0" xfId="1" applyFont="1" applyFill="1" applyBorder="1" applyAlignment="1" applyProtection="1">
      <alignment horizontal="center" vertical="center"/>
      <protection locked="0"/>
    </xf>
    <xf numFmtId="165" fontId="11" fillId="4" borderId="0" xfId="1" applyNumberFormat="1" applyFont="1" applyFill="1" applyBorder="1" applyAlignment="1" applyProtection="1">
      <alignment horizontal="center" vertical="center"/>
      <protection locked="0"/>
    </xf>
    <xf numFmtId="164" fontId="11" fillId="4" borderId="0" xfId="1" applyNumberFormat="1" applyFont="1" applyFill="1" applyBorder="1" applyAlignment="1" applyProtection="1">
      <alignment horizontal="center" vertical="center"/>
      <protection locked="0"/>
    </xf>
    <xf numFmtId="0" fontId="1" fillId="0" borderId="1" xfId="0" applyFont="1" applyBorder="1" applyAlignment="1">
      <alignment horizontal="left" wrapText="1"/>
    </xf>
    <xf numFmtId="0" fontId="5" fillId="0" borderId="1" xfId="0" applyFont="1" applyBorder="1" applyAlignment="1">
      <alignment horizontal="left"/>
    </xf>
    <xf numFmtId="0" fontId="13" fillId="0" borderId="1" xfId="0" applyFont="1" applyBorder="1" applyAlignment="1">
      <alignment horizontal="left" wrapText="1"/>
    </xf>
  </cellXfs>
  <cellStyles count="2">
    <cellStyle name="Komma" xfId="1" builtinId="3"/>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zoomScale="75" zoomScaleNormal="75" workbookViewId="0">
      <selection sqref="A1:U1"/>
    </sheetView>
  </sheetViews>
  <sheetFormatPr baseColWidth="10" defaultColWidth="11.54296875" defaultRowHeight="15.5" x14ac:dyDescent="0.35"/>
  <cols>
    <col min="1" max="1" width="16.26953125" style="1" customWidth="1"/>
    <col min="2" max="2" width="15.453125" style="1" customWidth="1"/>
    <col min="3" max="3" width="12.453125" style="1" customWidth="1"/>
    <col min="4" max="4" width="10.26953125" style="1" customWidth="1"/>
    <col min="5" max="5" width="9.1796875" style="6" customWidth="1"/>
    <col min="6" max="7" width="9.7265625" style="6" customWidth="1"/>
    <col min="8" max="8" width="6.54296875" style="17" customWidth="1"/>
    <col min="9" max="9" width="6.453125" style="17" customWidth="1"/>
    <col min="10" max="11" width="7.26953125" style="17" customWidth="1"/>
    <col min="12" max="12" width="7.81640625" style="17" customWidth="1"/>
    <col min="13" max="13" width="6.1796875" style="18" customWidth="1"/>
    <col min="14" max="14" width="8.453125" style="15" customWidth="1"/>
    <col min="15" max="15" width="6.7265625" style="6" customWidth="1"/>
    <col min="16" max="16" width="6.54296875" style="6" customWidth="1"/>
    <col min="17" max="17" width="6.7265625" style="6" hidden="1" customWidth="1"/>
    <col min="18" max="19" width="4.81640625" style="6" hidden="1" customWidth="1"/>
    <col min="20" max="20" width="7.26953125" style="5" hidden="1" customWidth="1"/>
    <col min="21" max="21" width="19.81640625" style="7" customWidth="1"/>
    <col min="22" max="22" width="8.453125" style="5" customWidth="1"/>
    <col min="23" max="16384" width="11.54296875" style="1"/>
  </cols>
  <sheetData>
    <row r="1" spans="1:22" s="4" customFormat="1" ht="409.5" customHeight="1" thickBot="1" x14ac:dyDescent="0.4">
      <c r="A1" s="48" t="s">
        <v>34</v>
      </c>
      <c r="B1" s="49"/>
      <c r="C1" s="49"/>
      <c r="D1" s="49"/>
      <c r="E1" s="49"/>
      <c r="F1" s="49"/>
      <c r="G1" s="49"/>
      <c r="H1" s="49"/>
      <c r="I1" s="49"/>
      <c r="J1" s="49"/>
      <c r="K1" s="49"/>
      <c r="L1" s="49"/>
      <c r="M1" s="49"/>
      <c r="N1" s="49"/>
      <c r="O1" s="49"/>
      <c r="P1" s="49"/>
      <c r="Q1" s="49"/>
      <c r="R1" s="49"/>
      <c r="S1" s="49"/>
      <c r="T1" s="49"/>
      <c r="U1" s="49"/>
      <c r="V1" s="19"/>
    </row>
    <row r="2" spans="1:22" x14ac:dyDescent="0.35">
      <c r="H2" s="1"/>
      <c r="I2" s="1"/>
      <c r="J2" s="1"/>
      <c r="K2" s="1"/>
      <c r="L2" s="6"/>
      <c r="M2" s="6"/>
    </row>
    <row r="3" spans="1:22" x14ac:dyDescent="0.35">
      <c r="H3" s="1"/>
      <c r="I3" s="1"/>
      <c r="J3" s="1"/>
      <c r="K3" s="1"/>
      <c r="L3" s="6"/>
      <c r="M3" s="6"/>
    </row>
    <row r="4" spans="1:22" x14ac:dyDescent="0.35">
      <c r="H4" s="1"/>
      <c r="I4" s="1"/>
      <c r="J4" s="1"/>
      <c r="K4" s="1"/>
      <c r="L4" s="6"/>
      <c r="M4" s="6"/>
    </row>
    <row r="5" spans="1:22" x14ac:dyDescent="0.35">
      <c r="H5" s="1"/>
      <c r="I5" s="1"/>
      <c r="J5" s="1"/>
      <c r="K5" s="1"/>
      <c r="L5" s="6"/>
      <c r="M5" s="6"/>
    </row>
    <row r="6" spans="1:22" x14ac:dyDescent="0.35">
      <c r="H6" s="1"/>
      <c r="I6" s="1"/>
      <c r="J6" s="1"/>
      <c r="K6" s="1"/>
      <c r="L6" s="6"/>
      <c r="M6" s="6"/>
    </row>
    <row r="7" spans="1:22" x14ac:dyDescent="0.35">
      <c r="H7" s="1"/>
      <c r="I7" s="1"/>
      <c r="J7" s="1"/>
      <c r="K7" s="1"/>
      <c r="L7" s="6"/>
      <c r="M7" s="6"/>
    </row>
    <row r="8" spans="1:22" x14ac:dyDescent="0.35">
      <c r="H8" s="1"/>
      <c r="I8" s="1"/>
      <c r="J8" s="1"/>
      <c r="K8" s="1"/>
      <c r="L8" s="6"/>
      <c r="M8" s="6"/>
    </row>
    <row r="9" spans="1:22" x14ac:dyDescent="0.35">
      <c r="H9" s="1"/>
      <c r="I9" s="1"/>
      <c r="J9" s="1"/>
      <c r="K9" s="1"/>
      <c r="L9" s="6"/>
      <c r="M9" s="6"/>
    </row>
    <row r="10" spans="1:22" x14ac:dyDescent="0.35">
      <c r="H10" s="1"/>
      <c r="I10" s="1"/>
      <c r="J10" s="1"/>
      <c r="K10" s="1"/>
      <c r="L10" s="6"/>
      <c r="M10" s="6"/>
    </row>
    <row r="11" spans="1:22" x14ac:dyDescent="0.35">
      <c r="H11" s="1"/>
      <c r="I11" s="1"/>
      <c r="J11" s="1"/>
      <c r="K11" s="1"/>
      <c r="L11" s="6"/>
      <c r="M11" s="6"/>
    </row>
    <row r="12" spans="1:22" x14ac:dyDescent="0.35">
      <c r="H12" s="1"/>
      <c r="I12" s="1"/>
      <c r="J12" s="1"/>
      <c r="K12" s="1"/>
      <c r="L12" s="6"/>
      <c r="M12" s="6"/>
    </row>
    <row r="13" spans="1:22" x14ac:dyDescent="0.35">
      <c r="H13" s="1"/>
      <c r="I13" s="1"/>
      <c r="J13" s="1"/>
      <c r="K13" s="1"/>
      <c r="L13" s="6"/>
      <c r="M13" s="6"/>
    </row>
    <row r="14" spans="1:22" x14ac:dyDescent="0.35">
      <c r="H14" s="1"/>
      <c r="I14" s="1"/>
      <c r="J14" s="1"/>
      <c r="K14" s="1"/>
      <c r="L14" s="6"/>
      <c r="M14" s="6"/>
    </row>
    <row r="15" spans="1:22" x14ac:dyDescent="0.35">
      <c r="H15" s="1"/>
      <c r="I15" s="1"/>
      <c r="J15" s="1"/>
      <c r="K15" s="1"/>
      <c r="L15" s="6"/>
      <c r="M15" s="6"/>
    </row>
    <row r="16" spans="1:22" x14ac:dyDescent="0.35">
      <c r="H16" s="1"/>
      <c r="I16" s="1"/>
      <c r="J16" s="1"/>
      <c r="K16" s="1"/>
      <c r="L16" s="6"/>
      <c r="M16" s="6"/>
    </row>
    <row r="17" spans="8:13" x14ac:dyDescent="0.35">
      <c r="H17" s="1"/>
      <c r="I17" s="1"/>
      <c r="J17" s="1"/>
      <c r="K17" s="1"/>
      <c r="L17" s="6"/>
      <c r="M17" s="6"/>
    </row>
    <row r="18" spans="8:13" x14ac:dyDescent="0.35">
      <c r="H18" s="1"/>
      <c r="I18" s="1"/>
      <c r="J18" s="1"/>
      <c r="K18" s="1"/>
      <c r="L18" s="6"/>
      <c r="M18" s="6"/>
    </row>
    <row r="19" spans="8:13" x14ac:dyDescent="0.35">
      <c r="H19" s="1"/>
      <c r="I19" s="1"/>
      <c r="J19" s="1"/>
      <c r="K19" s="1"/>
      <c r="L19" s="6"/>
      <c r="M19" s="6"/>
    </row>
    <row r="20" spans="8:13" x14ac:dyDescent="0.35">
      <c r="H20" s="1"/>
      <c r="I20" s="1"/>
      <c r="J20" s="1"/>
      <c r="K20" s="1"/>
      <c r="L20" s="6"/>
      <c r="M20" s="6"/>
    </row>
    <row r="21" spans="8:13" x14ac:dyDescent="0.35">
      <c r="H21" s="1"/>
      <c r="I21" s="1"/>
      <c r="J21" s="1"/>
      <c r="K21" s="1"/>
      <c r="L21" s="6"/>
      <c r="M21" s="6"/>
    </row>
    <row r="22" spans="8:13" x14ac:dyDescent="0.35">
      <c r="H22" s="1"/>
      <c r="I22" s="1"/>
      <c r="J22" s="1"/>
      <c r="K22" s="1"/>
      <c r="L22" s="6"/>
      <c r="M22" s="6"/>
    </row>
  </sheetData>
  <sheetProtection sheet="1" objects="1" scenarios="1"/>
  <mergeCells count="1">
    <mergeCell ref="A1:U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tabSelected="1" workbookViewId="0">
      <selection activeCell="B6" sqref="B6"/>
    </sheetView>
  </sheetViews>
  <sheetFormatPr baseColWidth="10" defaultColWidth="11.453125" defaultRowHeight="14.5" x14ac:dyDescent="0.35"/>
  <cols>
    <col min="1" max="1" width="61.81640625" customWidth="1"/>
    <col min="2" max="2" width="13.7265625" customWidth="1"/>
    <col min="3" max="3" width="11.54296875" style="33"/>
    <col min="4" max="4" width="11.54296875" style="41"/>
    <col min="5" max="5" width="9.1796875" customWidth="1"/>
    <col min="6" max="6" width="7.81640625" customWidth="1"/>
    <col min="7" max="7" width="8.1796875" customWidth="1"/>
    <col min="8" max="8" width="7.1796875" style="37" customWidth="1"/>
    <col min="9" max="9" width="6.7265625" style="37" customWidth="1"/>
    <col min="10" max="10" width="6.81640625" customWidth="1"/>
    <col min="11" max="11" width="6.7265625" customWidth="1"/>
    <col min="12" max="12" width="6.1796875" customWidth="1"/>
    <col min="13" max="13" width="6.453125" customWidth="1"/>
    <col min="14" max="14" width="9" customWidth="1"/>
    <col min="15" max="15" width="7.26953125" customWidth="1"/>
    <col min="16" max="16" width="7.81640625" customWidth="1"/>
    <col min="17" max="17" width="6.81640625" customWidth="1"/>
    <col min="18" max="18" width="7.7265625" customWidth="1"/>
    <col min="19" max="19" width="8.26953125" customWidth="1"/>
    <col min="20" max="20" width="7.26953125" customWidth="1"/>
    <col min="21" max="21" width="8.453125" customWidth="1"/>
  </cols>
  <sheetData>
    <row r="1" spans="1:22" ht="15" thickBot="1" x14ac:dyDescent="0.4">
      <c r="A1" s="50" t="s">
        <v>29</v>
      </c>
      <c r="B1" s="49"/>
      <c r="C1" s="49"/>
      <c r="D1" s="49"/>
      <c r="E1" s="49"/>
      <c r="F1" s="49"/>
      <c r="G1" s="49"/>
      <c r="H1" s="49"/>
      <c r="I1" s="49"/>
      <c r="J1" s="49"/>
      <c r="K1" s="49"/>
      <c r="L1" s="49"/>
      <c r="M1" s="49"/>
      <c r="N1" s="49"/>
      <c r="O1" s="49"/>
      <c r="P1" s="49"/>
      <c r="Q1" s="49"/>
      <c r="R1" s="49"/>
      <c r="S1" s="49"/>
      <c r="T1" s="49"/>
      <c r="U1" s="49"/>
      <c r="V1" s="19"/>
    </row>
    <row r="2" spans="1:22" ht="21" x14ac:dyDescent="0.45">
      <c r="A2" s="11" t="s">
        <v>30</v>
      </c>
      <c r="B2" s="45">
        <v>0</v>
      </c>
      <c r="C2" s="32"/>
      <c r="D2" s="38"/>
      <c r="E2" s="12"/>
      <c r="F2" s="10"/>
      <c r="G2" s="10"/>
      <c r="H2" s="34"/>
      <c r="I2" s="34"/>
      <c r="J2" s="12"/>
      <c r="K2" s="12"/>
      <c r="L2" s="12"/>
      <c r="M2" s="12"/>
      <c r="N2" s="14"/>
      <c r="O2" s="10"/>
      <c r="P2" s="10"/>
      <c r="Q2" s="10"/>
      <c r="R2" s="10"/>
      <c r="S2" s="10"/>
      <c r="T2" s="10"/>
      <c r="U2" s="16"/>
      <c r="V2" s="20"/>
    </row>
    <row r="3" spans="1:22" ht="21" x14ac:dyDescent="0.45">
      <c r="A3" s="11" t="s">
        <v>31</v>
      </c>
      <c r="B3" s="46">
        <v>4.5</v>
      </c>
      <c r="C3" s="32"/>
      <c r="D3" s="38"/>
      <c r="E3" s="12"/>
      <c r="F3" s="10"/>
      <c r="G3" s="22"/>
      <c r="H3" s="35"/>
      <c r="I3" s="35"/>
      <c r="J3" s="22"/>
      <c r="K3" s="22"/>
      <c r="L3" s="22"/>
      <c r="M3" s="22"/>
      <c r="N3" s="23"/>
      <c r="O3" s="10"/>
      <c r="P3" s="10"/>
      <c r="Q3" s="10"/>
      <c r="R3" s="10"/>
      <c r="S3" s="10"/>
      <c r="T3" s="10"/>
      <c r="U3" s="16"/>
      <c r="V3" s="20"/>
    </row>
    <row r="4" spans="1:22" ht="21" customHeight="1" x14ac:dyDescent="0.45">
      <c r="A4" s="11" t="s">
        <v>32</v>
      </c>
      <c r="B4" s="45">
        <v>0.3</v>
      </c>
      <c r="C4" s="32"/>
      <c r="D4" s="38"/>
      <c r="E4" s="12"/>
      <c r="F4" s="10"/>
      <c r="G4" s="10"/>
      <c r="H4" s="35"/>
      <c r="I4" s="35"/>
      <c r="J4" s="22"/>
      <c r="K4" s="22"/>
      <c r="L4" s="22"/>
      <c r="M4" s="22"/>
      <c r="N4" s="23"/>
      <c r="O4" s="10"/>
      <c r="P4" s="10"/>
      <c r="Q4" s="10"/>
      <c r="R4" s="10"/>
      <c r="S4" s="10"/>
      <c r="T4" s="10"/>
      <c r="U4" s="16"/>
      <c r="V4" s="20"/>
    </row>
    <row r="5" spans="1:22" ht="21" x14ac:dyDescent="0.45">
      <c r="A5" s="11" t="s">
        <v>33</v>
      </c>
      <c r="B5" s="45">
        <v>1.6</v>
      </c>
      <c r="C5" s="32"/>
      <c r="D5" s="38"/>
      <c r="E5" s="12"/>
      <c r="F5" s="10"/>
      <c r="G5" s="10"/>
      <c r="H5" s="35"/>
      <c r="I5" s="35"/>
      <c r="J5" s="22"/>
      <c r="K5" s="22"/>
      <c r="L5" s="22"/>
      <c r="M5" s="22"/>
      <c r="N5" s="23"/>
      <c r="O5" s="10"/>
      <c r="P5" s="10"/>
      <c r="Q5" s="10"/>
      <c r="R5" s="10"/>
      <c r="S5" s="10"/>
      <c r="T5" s="10"/>
      <c r="U5" s="16"/>
      <c r="V5" s="20"/>
    </row>
    <row r="6" spans="1:22" ht="21" x14ac:dyDescent="0.45">
      <c r="A6" s="11" t="s">
        <v>27</v>
      </c>
      <c r="B6" s="45">
        <v>5.28</v>
      </c>
      <c r="C6" s="32"/>
      <c r="D6" s="38"/>
      <c r="E6" s="12"/>
      <c r="F6" s="10"/>
      <c r="G6" s="10"/>
      <c r="H6" s="35"/>
      <c r="I6" s="35"/>
      <c r="J6" s="22"/>
      <c r="K6" s="22"/>
      <c r="L6" s="22"/>
      <c r="M6" s="22"/>
      <c r="N6" s="23"/>
      <c r="O6" s="10"/>
      <c r="P6" s="10"/>
      <c r="Q6" s="10"/>
      <c r="R6" s="10"/>
      <c r="S6" s="10"/>
      <c r="T6" s="10"/>
      <c r="U6" s="16"/>
      <c r="V6" s="20"/>
    </row>
    <row r="7" spans="1:22" ht="21" x14ac:dyDescent="0.45">
      <c r="A7" s="11" t="s">
        <v>28</v>
      </c>
      <c r="B7" s="45">
        <v>8.76</v>
      </c>
      <c r="C7" s="32"/>
      <c r="D7" s="38"/>
      <c r="E7" s="12"/>
      <c r="F7" s="10"/>
      <c r="G7" s="10"/>
      <c r="H7" s="35"/>
      <c r="I7" s="35"/>
      <c r="J7" s="22"/>
      <c r="K7" s="22"/>
      <c r="L7" s="22"/>
      <c r="M7" s="22"/>
      <c r="N7" s="23"/>
      <c r="O7" s="10"/>
      <c r="P7" s="10"/>
      <c r="Q7" s="10"/>
      <c r="R7" s="10"/>
      <c r="S7" s="10"/>
      <c r="T7" s="10"/>
      <c r="U7" s="16"/>
      <c r="V7" s="20"/>
    </row>
    <row r="8" spans="1:22" ht="21" x14ac:dyDescent="0.45">
      <c r="A8" s="11" t="s">
        <v>26</v>
      </c>
      <c r="B8" s="47">
        <v>146</v>
      </c>
      <c r="C8" s="32"/>
      <c r="D8" s="38"/>
      <c r="E8" s="12"/>
      <c r="F8" s="10"/>
      <c r="G8" s="10"/>
      <c r="H8" s="35"/>
      <c r="I8" s="35"/>
      <c r="J8" s="22"/>
      <c r="K8" s="22"/>
      <c r="L8" s="22"/>
      <c r="M8" s="22"/>
      <c r="N8" s="23"/>
      <c r="O8" s="10"/>
      <c r="P8" s="10"/>
      <c r="Q8" s="10"/>
      <c r="R8" s="10"/>
      <c r="S8" s="10"/>
      <c r="T8" s="10"/>
      <c r="U8" s="16"/>
      <c r="V8" s="20"/>
    </row>
    <row r="9" spans="1:22" ht="21" customHeight="1" x14ac:dyDescent="0.45">
      <c r="A9" s="11" t="s">
        <v>36</v>
      </c>
      <c r="B9" s="43">
        <f>H12</f>
        <v>126.49984104588142</v>
      </c>
      <c r="C9" s="32"/>
      <c r="D9" s="38"/>
      <c r="E9" s="12"/>
      <c r="F9" s="10"/>
      <c r="G9" s="10"/>
      <c r="H9" s="35"/>
      <c r="I9" s="35"/>
      <c r="J9" s="22"/>
      <c r="K9" s="22"/>
      <c r="L9" s="22"/>
      <c r="M9" s="22"/>
      <c r="N9" s="23"/>
      <c r="O9" s="10"/>
      <c r="P9" s="10"/>
      <c r="Q9" s="10"/>
      <c r="R9" s="10"/>
      <c r="S9" s="10"/>
      <c r="T9" s="10"/>
      <c r="U9" s="16"/>
      <c r="V9" s="20"/>
    </row>
    <row r="10" spans="1:22" ht="21" customHeight="1" x14ac:dyDescent="0.45">
      <c r="A10" s="11" t="s">
        <v>35</v>
      </c>
      <c r="B10" s="44">
        <f>98.3309289517535*NORMDIST((B8-B9)/B9*100,0,17.5,TRUE)</f>
        <v>79.727206432058352</v>
      </c>
      <c r="C10" s="32"/>
      <c r="D10" s="38"/>
      <c r="E10" s="12"/>
      <c r="F10" s="10"/>
      <c r="G10" s="10"/>
      <c r="H10" s="35"/>
      <c r="I10" s="35"/>
      <c r="J10" s="22"/>
      <c r="K10" s="22"/>
      <c r="L10" s="22"/>
      <c r="M10" s="22"/>
      <c r="N10" s="23"/>
      <c r="O10" s="10"/>
      <c r="P10" s="10"/>
      <c r="Q10" s="10"/>
      <c r="R10" s="10"/>
      <c r="S10" s="10"/>
      <c r="T10" s="10"/>
      <c r="U10" s="16"/>
      <c r="V10" s="20"/>
    </row>
    <row r="11" spans="1:22" ht="31" hidden="1" x14ac:dyDescent="0.35">
      <c r="A11" s="3" t="s">
        <v>6</v>
      </c>
      <c r="B11" s="3" t="s">
        <v>0</v>
      </c>
      <c r="C11" s="28" t="s">
        <v>1</v>
      </c>
      <c r="D11" s="39" t="s">
        <v>2</v>
      </c>
      <c r="E11" s="9" t="s">
        <v>3</v>
      </c>
      <c r="F11" s="9" t="s">
        <v>4</v>
      </c>
      <c r="G11" s="9" t="s">
        <v>5</v>
      </c>
      <c r="H11" s="36" t="s">
        <v>14</v>
      </c>
      <c r="I11" s="36" t="s">
        <v>15</v>
      </c>
      <c r="J11" s="25" t="s">
        <v>16</v>
      </c>
      <c r="K11" s="25" t="s">
        <v>17</v>
      </c>
      <c r="L11" s="25" t="s">
        <v>18</v>
      </c>
      <c r="M11" s="25" t="s">
        <v>19</v>
      </c>
      <c r="N11" s="26" t="s">
        <v>20</v>
      </c>
      <c r="O11" s="27" t="s">
        <v>9</v>
      </c>
      <c r="P11" s="28" t="s">
        <v>10</v>
      </c>
      <c r="Q11" s="27" t="s">
        <v>11</v>
      </c>
      <c r="R11" s="28" t="s">
        <v>12</v>
      </c>
      <c r="S11" s="28" t="s">
        <v>21</v>
      </c>
      <c r="T11" s="29" t="s">
        <v>7</v>
      </c>
      <c r="U11" s="30" t="s">
        <v>8</v>
      </c>
      <c r="V11" s="31" t="s">
        <v>13</v>
      </c>
    </row>
    <row r="12" spans="1:22" ht="15.5" hidden="1" x14ac:dyDescent="0.35">
      <c r="A12" s="2" t="s">
        <v>22</v>
      </c>
      <c r="B12" s="13" t="s">
        <v>25</v>
      </c>
      <c r="C12" s="8" t="s">
        <v>23</v>
      </c>
      <c r="D12" s="40" t="s">
        <v>24</v>
      </c>
      <c r="E12" s="21">
        <f>B5</f>
        <v>1.6</v>
      </c>
      <c r="F12" s="21">
        <f>B6</f>
        <v>5.28</v>
      </c>
      <c r="G12" s="21">
        <f>B7</f>
        <v>8.76</v>
      </c>
      <c r="H12" s="36">
        <f>IF(I12&lt;V12,V12,I12)</f>
        <v>126.49984104588142</v>
      </c>
      <c r="I12" s="36">
        <f>J12+K12+L12+M12+N12</f>
        <v>126.49984104588142</v>
      </c>
      <c r="J12" s="22">
        <f>116/1.2213*(0.0950502775050452+(1.12627632206642)/((1+($B$2/0.302756091410027)^2.26536793426585)^0.152776210790626))/E12</f>
        <v>72.501579029666104</v>
      </c>
      <c r="K12" s="22">
        <f>5.91232283796472*O12*ABS(G12-F12)/E12^0.600317738509086*(1+$B$2)^0.808139120750434</f>
        <v>53.998262016215314</v>
      </c>
      <c r="L12" s="22">
        <f>1.04237828050238*P12*(F12+2.34973310685883)/(R12*E12^-0.304107132838227+(1-R12)*(S12)^-0.304107132838227)</f>
        <v>0</v>
      </c>
      <c r="M12" s="22">
        <f>13.6914255489806*Q12*(G12-9)</f>
        <v>0</v>
      </c>
      <c r="N12" s="24">
        <f>2.4817076129942*Q12*(6.5-$B$3)</f>
        <v>0</v>
      </c>
      <c r="O12" s="7">
        <f>IF(ABS(G12-F12)&lt;=1,IF(F12&lt;=6,0,ABS(G12-F12)), ABS(G12-F12))</f>
        <v>3.4799999999999995</v>
      </c>
      <c r="P12" s="6">
        <f>IF(F12-6&gt;0,F12/6,0)</f>
        <v>0</v>
      </c>
      <c r="Q12" s="7">
        <f>IF(G12-9&gt;0,G12/9,0)</f>
        <v>0</v>
      </c>
      <c r="R12" s="1">
        <f>IF(E12&lt;=14-F12,1,0)</f>
        <v>1</v>
      </c>
      <c r="S12" s="1">
        <f>IF(F12&lt;12.5,14-F12,1.5)</f>
        <v>8.7199999999999989</v>
      </c>
      <c r="T12" s="10">
        <f>0.0693559616693627+4.32571272410334*LOG(((6.5/$B$3)^2),2.512)^1.81526832546765*(G12/18)^8.00090419543305</f>
        <v>7.8396533481766076E-2</v>
      </c>
      <c r="U12" s="16">
        <f>G12+T12+$B$4</f>
        <v>9.1383965334817674</v>
      </c>
      <c r="V12" s="20">
        <f>SQRT(10^((U12-2.7)/5)^2/(1-$B$2^2))</f>
        <v>19.394532106389228</v>
      </c>
    </row>
    <row r="14" spans="1:22" x14ac:dyDescent="0.35">
      <c r="B14" s="42"/>
    </row>
    <row r="15" spans="1:22" x14ac:dyDescent="0.35">
      <c r="A15" t="s">
        <v>37</v>
      </c>
    </row>
    <row r="16" spans="1:22" x14ac:dyDescent="0.35">
      <c r="A16" t="s">
        <v>39</v>
      </c>
    </row>
    <row r="17" spans="1:1" x14ac:dyDescent="0.35">
      <c r="A17" t="s">
        <v>38</v>
      </c>
    </row>
  </sheetData>
  <sheetProtection algorithmName="SHA-512" hashValue="55V68BIqtuVo8O6NevtFRXz5xoZ9Neeii7Ywk0SXWd5d1xTDJchZCTvWNqb/FpEN/3+hubZXJcfDw+Fza0CCfA==" saltValue="mXJuk5KaYo0eaQvQxadZiQ==" spinCount="100000" sheet="1" objects="1" scenarios="1" selectLockedCells="1"/>
  <mergeCells count="1">
    <mergeCell ref="A1:U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Introduction</vt:lpstr>
      <vt:lpstr>RoT V3.4 Beta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WRAK's RoT for splitting unequal and faint double stars</dc:title>
  <dc:creator>Wilfried R.A. Knapp</dc:creator>
  <cp:lastModifiedBy>Wilfried Knapp</cp:lastModifiedBy>
  <dcterms:created xsi:type="dcterms:W3CDTF">2012-12-27T20:58:43Z</dcterms:created>
  <dcterms:modified xsi:type="dcterms:W3CDTF">2021-11-28T16:10:45Z</dcterms:modified>
</cp:coreProperties>
</file>